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A9B0C568-B8B5-9F41-8175-5DF425067025}" xr6:coauthVersionLast="43" xr6:coauthVersionMax="43" xr10:uidLastSave="{00000000-0000-0000-0000-000000000000}"/>
  <bookViews>
    <workbookView xWindow="2740" yWindow="460" windowWidth="26060" windowHeight="16280" tabRatio="1000" firstSheet="1" activeTab="7" xr2:uid="{00000000-000D-0000-FFFF-FFFF00000000}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  <sheet name="Survival 35 days" sheetId="14" r:id="rId12"/>
    <sheet name="15-month-survival" sheetId="15" r:id="rId13"/>
  </sheets>
  <definedNames>
    <definedName name="_xlnm._FilterDatabase" localSheetId="0" hidden="1">'Larvae Collection'!$A$1:$Y$161</definedName>
    <definedName name="_xlnm._FilterDatabase" localSheetId="4" hidden="1">SUMMARIES!#REF!</definedName>
    <definedName name="_xlnm.Extract" localSheetId="4">SUMMARIES!$J:$J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5" l="1"/>
  <c r="I48" i="15"/>
  <c r="I46" i="15"/>
  <c r="I44" i="15"/>
  <c r="I42" i="15"/>
  <c r="I41" i="15"/>
  <c r="I39" i="15"/>
  <c r="I35" i="15"/>
  <c r="I29" i="15"/>
  <c r="I28" i="15"/>
  <c r="I27" i="15"/>
  <c r="I26" i="15"/>
  <c r="I25" i="15"/>
  <c r="I24" i="15"/>
  <c r="I22" i="15"/>
  <c r="I21" i="15"/>
  <c r="I19" i="15"/>
  <c r="I17" i="15"/>
  <c r="I15" i="15"/>
  <c r="I14" i="15"/>
  <c r="I12" i="15"/>
  <c r="I6" i="15"/>
  <c r="I5" i="15"/>
  <c r="I3" i="15"/>
  <c r="I2" i="15"/>
  <c r="G49" i="15"/>
  <c r="G48" i="15"/>
  <c r="G46" i="15"/>
  <c r="G44" i="15"/>
  <c r="G42" i="15"/>
  <c r="G41" i="15"/>
  <c r="G39" i="15"/>
  <c r="G35" i="15"/>
  <c r="G29" i="15"/>
  <c r="G28" i="15"/>
  <c r="G27" i="15"/>
  <c r="G26" i="15"/>
  <c r="G25" i="15"/>
  <c r="G24" i="15"/>
  <c r="G22" i="15"/>
  <c r="G21" i="15"/>
  <c r="G19" i="15"/>
  <c r="G17" i="15"/>
  <c r="G15" i="15"/>
  <c r="G14" i="15"/>
  <c r="G12" i="15"/>
  <c r="G47" i="15"/>
  <c r="G45" i="15"/>
  <c r="G43" i="15"/>
  <c r="G40" i="15"/>
  <c r="G38" i="15"/>
  <c r="G37" i="15"/>
  <c r="G34" i="15"/>
  <c r="G33" i="15"/>
  <c r="G32" i="15"/>
  <c r="G31" i="15"/>
  <c r="G30" i="15"/>
  <c r="G20" i="15"/>
  <c r="G16" i="15"/>
  <c r="G13" i="15"/>
  <c r="G10" i="15"/>
  <c r="G8" i="15"/>
  <c r="G4" i="15"/>
  <c r="G6" i="15"/>
  <c r="G5" i="15"/>
  <c r="G3" i="15"/>
  <c r="G2" i="15"/>
  <c r="P25" i="5" l="1"/>
  <c r="S16" i="5"/>
  <c r="AF21" i="5"/>
  <c r="AF20" i="5" s="1"/>
  <c r="AC21" i="5"/>
  <c r="AC20" i="5" s="1"/>
  <c r="Z21" i="5"/>
  <c r="W21" i="5"/>
  <c r="W22" i="5" s="1"/>
  <c r="T21" i="5"/>
  <c r="Q21" i="5"/>
  <c r="Q22" i="5" s="1"/>
  <c r="N21" i="5"/>
  <c r="N20" i="5" s="1"/>
  <c r="K21" i="5"/>
  <c r="J9" i="5"/>
  <c r="M9" i="5"/>
  <c r="P9" i="5"/>
  <c r="S9" i="5"/>
  <c r="V9" i="5"/>
  <c r="Y9" i="5"/>
  <c r="AB9" i="5"/>
  <c r="AE9" i="5"/>
  <c r="J10" i="5"/>
  <c r="M10" i="5"/>
  <c r="P10" i="5"/>
  <c r="S10" i="5"/>
  <c r="V10" i="5"/>
  <c r="Y10" i="5"/>
  <c r="AB10" i="5"/>
  <c r="AE10" i="5"/>
  <c r="J11" i="5"/>
  <c r="M11" i="5"/>
  <c r="P11" i="5"/>
  <c r="S11" i="5"/>
  <c r="V11" i="5"/>
  <c r="Y11" i="5"/>
  <c r="AB11" i="5"/>
  <c r="AE11" i="5"/>
  <c r="J12" i="5"/>
  <c r="M12" i="5"/>
  <c r="P12" i="5"/>
  <c r="S12" i="5"/>
  <c r="V12" i="5"/>
  <c r="Y12" i="5"/>
  <c r="AB12" i="5"/>
  <c r="AE12" i="5"/>
  <c r="J13" i="5"/>
  <c r="M13" i="5"/>
  <c r="P13" i="5"/>
  <c r="S13" i="5"/>
  <c r="V13" i="5"/>
  <c r="Y13" i="5"/>
  <c r="AB13" i="5"/>
  <c r="AE13" i="5"/>
  <c r="J14" i="5"/>
  <c r="M14" i="5"/>
  <c r="P14" i="5"/>
  <c r="S14" i="5"/>
  <c r="V14" i="5"/>
  <c r="Y14" i="5"/>
  <c r="AB14" i="5"/>
  <c r="AE14" i="5"/>
  <c r="J15" i="5"/>
  <c r="M15" i="5"/>
  <c r="P15" i="5"/>
  <c r="S15" i="5"/>
  <c r="V15" i="5"/>
  <c r="Y15" i="5"/>
  <c r="AB15" i="5"/>
  <c r="AE15" i="5"/>
  <c r="J16" i="5"/>
  <c r="M16" i="5"/>
  <c r="P16" i="5"/>
  <c r="V16" i="5"/>
  <c r="Y16" i="5"/>
  <c r="AB16" i="5"/>
  <c r="AE16" i="5"/>
  <c r="J17" i="5"/>
  <c r="M17" i="5"/>
  <c r="P17" i="5"/>
  <c r="S17" i="5"/>
  <c r="V17" i="5"/>
  <c r="Y17" i="5"/>
  <c r="AB17" i="5"/>
  <c r="AE17" i="5"/>
  <c r="J18" i="5"/>
  <c r="M18" i="5"/>
  <c r="P18" i="5"/>
  <c r="S18" i="5"/>
  <c r="V18" i="5"/>
  <c r="Y18" i="5"/>
  <c r="AB18" i="5"/>
  <c r="AE18" i="5"/>
  <c r="J19" i="5"/>
  <c r="M19" i="5"/>
  <c r="P19" i="5"/>
  <c r="S19" i="5"/>
  <c r="V19" i="5"/>
  <c r="Y19" i="5"/>
  <c r="AB19" i="5"/>
  <c r="AE19" i="5"/>
  <c r="J20" i="5"/>
  <c r="M20" i="5"/>
  <c r="P20" i="5"/>
  <c r="S20" i="5"/>
  <c r="V20" i="5"/>
  <c r="Y20" i="5"/>
  <c r="AB20" i="5"/>
  <c r="AE20" i="5"/>
  <c r="J21" i="5"/>
  <c r="M21" i="5"/>
  <c r="P21" i="5"/>
  <c r="S21" i="5"/>
  <c r="T20" i="5" s="1"/>
  <c r="T19" i="5" s="1"/>
  <c r="T18" i="5" s="1"/>
  <c r="T17" i="5" s="1"/>
  <c r="V21" i="5"/>
  <c r="Y21" i="5"/>
  <c r="AB21" i="5"/>
  <c r="AE21" i="5"/>
  <c r="J22" i="5"/>
  <c r="M22" i="5"/>
  <c r="P22" i="5"/>
  <c r="S22" i="5"/>
  <c r="T22" i="5" s="1"/>
  <c r="V22" i="5"/>
  <c r="Y22" i="5"/>
  <c r="Z22" i="5" s="1"/>
  <c r="AB22" i="5"/>
  <c r="AE22" i="5"/>
  <c r="J23" i="5"/>
  <c r="M23" i="5"/>
  <c r="P23" i="5"/>
  <c r="S23" i="5"/>
  <c r="V23" i="5"/>
  <c r="Y23" i="5"/>
  <c r="AB23" i="5"/>
  <c r="AE23" i="5"/>
  <c r="J24" i="5"/>
  <c r="M24" i="5"/>
  <c r="P24" i="5"/>
  <c r="S24" i="5"/>
  <c r="V24" i="5"/>
  <c r="Y24" i="5"/>
  <c r="AB24" i="5"/>
  <c r="AE24" i="5"/>
  <c r="J25" i="5"/>
  <c r="M25" i="5"/>
  <c r="S25" i="5"/>
  <c r="V25" i="5"/>
  <c r="Y25" i="5"/>
  <c r="AB25" i="5"/>
  <c r="AE25" i="5"/>
  <c r="J3" i="5"/>
  <c r="M3" i="5"/>
  <c r="P3" i="5"/>
  <c r="S3" i="5"/>
  <c r="V3" i="5"/>
  <c r="Y3" i="5"/>
  <c r="AB3" i="5"/>
  <c r="AE3" i="5"/>
  <c r="J4" i="5"/>
  <c r="M4" i="5"/>
  <c r="P4" i="5"/>
  <c r="S4" i="5"/>
  <c r="V4" i="5"/>
  <c r="Y4" i="5"/>
  <c r="AB4" i="5"/>
  <c r="AE4" i="5"/>
  <c r="J5" i="5"/>
  <c r="M5" i="5"/>
  <c r="P5" i="5"/>
  <c r="S5" i="5"/>
  <c r="V5" i="5"/>
  <c r="Y5" i="5"/>
  <c r="AB5" i="5"/>
  <c r="AE5" i="5"/>
  <c r="J6" i="5"/>
  <c r="M6" i="5"/>
  <c r="P6" i="5"/>
  <c r="S6" i="5"/>
  <c r="V6" i="5"/>
  <c r="Y6" i="5"/>
  <c r="AB6" i="5"/>
  <c r="AE6" i="5"/>
  <c r="J7" i="5"/>
  <c r="M7" i="5"/>
  <c r="P7" i="5"/>
  <c r="S7" i="5"/>
  <c r="V7" i="5"/>
  <c r="Y7" i="5"/>
  <c r="AB7" i="5"/>
  <c r="AE7" i="5"/>
  <c r="J8" i="5"/>
  <c r="M8" i="5"/>
  <c r="P8" i="5"/>
  <c r="S8" i="5"/>
  <c r="V8" i="5"/>
  <c r="Y8" i="5"/>
  <c r="AB8" i="5"/>
  <c r="AE8" i="5"/>
  <c r="AE2" i="5"/>
  <c r="AB2" i="5"/>
  <c r="Y2" i="5"/>
  <c r="V2" i="5"/>
  <c r="S2" i="5"/>
  <c r="P2" i="5"/>
  <c r="M2" i="5"/>
  <c r="J2" i="5"/>
  <c r="E57" i="14"/>
  <c r="E56" i="14"/>
  <c r="E55" i="14"/>
  <c r="E54" i="14"/>
  <c r="Z23" i="5" l="1"/>
  <c r="AC19" i="5"/>
  <c r="Q23" i="5"/>
  <c r="AF19" i="5"/>
  <c r="W23" i="5"/>
  <c r="N19" i="5"/>
  <c r="AC22" i="5"/>
  <c r="K22" i="5"/>
  <c r="AF22" i="5"/>
  <c r="Q20" i="5"/>
  <c r="K20" i="5"/>
  <c r="W20" i="5"/>
  <c r="T16" i="5"/>
  <c r="Z20" i="5"/>
  <c r="N22" i="5"/>
  <c r="T23" i="5"/>
  <c r="I2" i="13"/>
  <c r="F132" i="5"/>
  <c r="F118" i="5"/>
  <c r="F117" i="5"/>
  <c r="F133" i="5" s="1"/>
  <c r="F116" i="5"/>
  <c r="F113" i="5"/>
  <c r="F110" i="5"/>
  <c r="F109" i="5"/>
  <c r="F108" i="5"/>
  <c r="F107" i="5"/>
  <c r="F130" i="5" s="1"/>
  <c r="F105" i="5"/>
  <c r="F104" i="5"/>
  <c r="F131" i="5" s="1"/>
  <c r="F102" i="5"/>
  <c r="F114" i="5" s="1"/>
  <c r="F128" i="5" s="1"/>
  <c r="F101" i="5"/>
  <c r="F126" i="5" s="1"/>
  <c r="F98" i="5"/>
  <c r="F97" i="5"/>
  <c r="F95" i="5"/>
  <c r="F124" i="5" s="1"/>
  <c r="F129" i="5" s="1"/>
  <c r="F94" i="5"/>
  <c r="F106" i="5" s="1"/>
  <c r="F93" i="5"/>
  <c r="F127" i="5" s="1"/>
  <c r="F92" i="5"/>
  <c r="F100" i="5" s="1"/>
  <c r="F115" i="5" s="1"/>
  <c r="F121" i="5" s="1"/>
  <c r="F91" i="5"/>
  <c r="F125" i="5" s="1"/>
  <c r="F90" i="5"/>
  <c r="F99" i="5" s="1"/>
  <c r="F89" i="5"/>
  <c r="F122" i="5" s="1"/>
  <c r="F88" i="5"/>
  <c r="F103" i="5" s="1"/>
  <c r="F111" i="5" s="1"/>
  <c r="F119" i="5" s="1"/>
  <c r="F123" i="5" s="1"/>
  <c r="F87" i="5"/>
  <c r="F96" i="5" s="1"/>
  <c r="F112" i="5" s="1"/>
  <c r="F120" i="5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04" i="13"/>
  <c r="C105" i="13"/>
  <c r="C106" i="13"/>
  <c r="C107" i="13"/>
  <c r="C108" i="13"/>
  <c r="C109" i="13"/>
  <c r="C135" i="13"/>
  <c r="C136" i="13"/>
  <c r="C35" i="13"/>
  <c r="C36" i="13"/>
  <c r="C37" i="13"/>
  <c r="C125" i="13"/>
  <c r="C126" i="13"/>
  <c r="C127" i="13"/>
  <c r="C11" i="13"/>
  <c r="C12" i="13"/>
  <c r="C13" i="13"/>
  <c r="C89" i="13"/>
  <c r="C90" i="13"/>
  <c r="C91" i="13"/>
  <c r="C101" i="13"/>
  <c r="C102" i="13"/>
  <c r="C103" i="13"/>
  <c r="C32" i="13"/>
  <c r="C33" i="13"/>
  <c r="C34" i="13"/>
  <c r="C65" i="13"/>
  <c r="C66" i="13"/>
  <c r="C67" i="13"/>
  <c r="C110" i="13"/>
  <c r="C111" i="13"/>
  <c r="C112" i="13"/>
  <c r="C86" i="13"/>
  <c r="C87" i="13"/>
  <c r="C88" i="13"/>
  <c r="C53" i="13"/>
  <c r="C54" i="13"/>
  <c r="C55" i="13"/>
  <c r="C29" i="13"/>
  <c r="C30" i="13"/>
  <c r="C31" i="13"/>
  <c r="C59" i="13"/>
  <c r="C60" i="13"/>
  <c r="C61" i="13"/>
  <c r="C50" i="13"/>
  <c r="C51" i="13"/>
  <c r="C52" i="13"/>
  <c r="C2" i="13"/>
  <c r="C3" i="13"/>
  <c r="C4" i="13"/>
  <c r="C134" i="13"/>
  <c r="C56" i="13"/>
  <c r="C57" i="13"/>
  <c r="C58" i="13"/>
  <c r="C92" i="13"/>
  <c r="C93" i="13"/>
  <c r="C94" i="13"/>
  <c r="C16" i="13"/>
  <c r="C17" i="13"/>
  <c r="C18" i="13"/>
  <c r="C19" i="13"/>
  <c r="C44" i="13"/>
  <c r="C45" i="13"/>
  <c r="C46" i="13"/>
  <c r="C80" i="13"/>
  <c r="C81" i="13"/>
  <c r="C82" i="13"/>
  <c r="C20" i="13"/>
  <c r="C21" i="13"/>
  <c r="C22" i="13"/>
  <c r="C38" i="13"/>
  <c r="C39" i="13"/>
  <c r="C40" i="13"/>
  <c r="C143" i="13"/>
  <c r="C144" i="13"/>
  <c r="C145" i="13"/>
  <c r="C83" i="13"/>
  <c r="C84" i="13"/>
  <c r="C85" i="13"/>
  <c r="C121" i="13"/>
  <c r="C98" i="13"/>
  <c r="C99" i="13"/>
  <c r="C100" i="13"/>
  <c r="C137" i="13"/>
  <c r="C138" i="13"/>
  <c r="C139" i="13"/>
  <c r="C77" i="13"/>
  <c r="C78" i="13"/>
  <c r="C79" i="13"/>
  <c r="C140" i="13"/>
  <c r="C141" i="13"/>
  <c r="C142" i="13"/>
  <c r="C122" i="13"/>
  <c r="C123" i="13"/>
  <c r="C124" i="13"/>
  <c r="C14" i="13"/>
  <c r="C15" i="13"/>
  <c r="C48" i="13"/>
  <c r="C49" i="13"/>
  <c r="C8" i="13"/>
  <c r="C9" i="13"/>
  <c r="C10" i="13"/>
  <c r="C131" i="13"/>
  <c r="C132" i="13"/>
  <c r="C133" i="13"/>
  <c r="C95" i="13"/>
  <c r="C96" i="13"/>
  <c r="C97" i="13"/>
  <c r="C74" i="13"/>
  <c r="C75" i="13"/>
  <c r="C76" i="13"/>
  <c r="C116" i="13"/>
  <c r="C117" i="13"/>
  <c r="C118" i="13"/>
  <c r="C23" i="13"/>
  <c r="C24" i="13"/>
  <c r="C25" i="13"/>
  <c r="C68" i="13"/>
  <c r="C69" i="13"/>
  <c r="C70" i="13"/>
  <c r="C71" i="13"/>
  <c r="C72" i="13"/>
  <c r="C73" i="13"/>
  <c r="C119" i="13"/>
  <c r="C120" i="13"/>
  <c r="C42" i="13"/>
  <c r="C43" i="13"/>
  <c r="C26" i="13"/>
  <c r="C27" i="13"/>
  <c r="C28" i="13"/>
  <c r="C113" i="13"/>
  <c r="C114" i="13"/>
  <c r="C115" i="13"/>
  <c r="C62" i="13"/>
  <c r="C63" i="13"/>
  <c r="C64" i="13"/>
  <c r="C5" i="13"/>
  <c r="C6" i="13"/>
  <c r="C7" i="13"/>
  <c r="C128" i="13"/>
  <c r="C129" i="13"/>
  <c r="C130" i="13"/>
  <c r="C47" i="13"/>
  <c r="C41" i="13"/>
  <c r="E127" i="13"/>
  <c r="E11" i="13"/>
  <c r="E12" i="13"/>
  <c r="E13" i="13"/>
  <c r="E89" i="13"/>
  <c r="E90" i="13"/>
  <c r="E91" i="13"/>
  <c r="E101" i="13"/>
  <c r="E102" i="13"/>
  <c r="E103" i="13"/>
  <c r="E32" i="13"/>
  <c r="E33" i="13"/>
  <c r="E34" i="13"/>
  <c r="E65" i="13"/>
  <c r="E66" i="13"/>
  <c r="E67" i="13"/>
  <c r="E104" i="13"/>
  <c r="E105" i="13"/>
  <c r="E106" i="13"/>
  <c r="E107" i="13"/>
  <c r="E108" i="13"/>
  <c r="E109" i="13"/>
  <c r="E88" i="13"/>
  <c r="E53" i="13"/>
  <c r="E54" i="13"/>
  <c r="E55" i="13"/>
  <c r="E29" i="13"/>
  <c r="E30" i="13"/>
  <c r="E31" i="13"/>
  <c r="E59" i="13"/>
  <c r="E60" i="13"/>
  <c r="E61" i="13"/>
  <c r="E50" i="13"/>
  <c r="E51" i="13"/>
  <c r="E52" i="13"/>
  <c r="E2" i="13"/>
  <c r="E3" i="13"/>
  <c r="E4" i="13"/>
  <c r="E134" i="13"/>
  <c r="E135" i="13"/>
  <c r="E136" i="13"/>
  <c r="E35" i="13"/>
  <c r="E36" i="13"/>
  <c r="E37" i="13"/>
  <c r="E125" i="13"/>
  <c r="E126" i="13"/>
  <c r="E143" i="13"/>
  <c r="E144" i="13"/>
  <c r="E145" i="13"/>
  <c r="E83" i="13"/>
  <c r="E84" i="13"/>
  <c r="E85" i="13"/>
  <c r="E56" i="13"/>
  <c r="E57" i="13"/>
  <c r="E58" i="13"/>
  <c r="E92" i="13"/>
  <c r="E93" i="13"/>
  <c r="E94" i="13"/>
  <c r="E110" i="13"/>
  <c r="E111" i="13"/>
  <c r="E112" i="13"/>
  <c r="E86" i="13"/>
  <c r="E87" i="13"/>
  <c r="E18" i="13"/>
  <c r="E19" i="13"/>
  <c r="E44" i="13"/>
  <c r="E45" i="13"/>
  <c r="E46" i="13"/>
  <c r="E80" i="13"/>
  <c r="E81" i="13"/>
  <c r="E82" i="13"/>
  <c r="E20" i="13"/>
  <c r="E21" i="13"/>
  <c r="E22" i="13"/>
  <c r="E38" i="13"/>
  <c r="E39" i="13"/>
  <c r="E40" i="13"/>
  <c r="E71" i="13"/>
  <c r="E72" i="13"/>
  <c r="E73" i="13"/>
  <c r="E119" i="13"/>
  <c r="E120" i="13"/>
  <c r="E121" i="13"/>
  <c r="E98" i="13"/>
  <c r="E99" i="13"/>
  <c r="E100" i="13"/>
  <c r="E137" i="13"/>
  <c r="E138" i="13"/>
  <c r="E139" i="13"/>
  <c r="E77" i="13"/>
  <c r="E78" i="13"/>
  <c r="E79" i="13"/>
  <c r="E140" i="13"/>
  <c r="E141" i="13"/>
  <c r="E142" i="13"/>
  <c r="E122" i="13"/>
  <c r="E123" i="13"/>
  <c r="E124" i="13"/>
  <c r="E14" i="13"/>
  <c r="E15" i="13"/>
  <c r="E16" i="13"/>
  <c r="E17" i="13"/>
  <c r="E9" i="13"/>
  <c r="E10" i="13"/>
  <c r="E131" i="13"/>
  <c r="E132" i="13"/>
  <c r="E133" i="13"/>
  <c r="E95" i="13"/>
  <c r="E96" i="13"/>
  <c r="E97" i="13"/>
  <c r="E74" i="13"/>
  <c r="E75" i="13"/>
  <c r="E76" i="13"/>
  <c r="E116" i="13"/>
  <c r="E117" i="13"/>
  <c r="E118" i="13"/>
  <c r="E23" i="13"/>
  <c r="E24" i="13"/>
  <c r="E25" i="13"/>
  <c r="E68" i="13"/>
  <c r="E69" i="13"/>
  <c r="E70" i="13"/>
  <c r="E42" i="13"/>
  <c r="E43" i="13"/>
  <c r="E26" i="13"/>
  <c r="E27" i="13"/>
  <c r="E28" i="13"/>
  <c r="E113" i="13"/>
  <c r="E114" i="13"/>
  <c r="E115" i="13"/>
  <c r="E62" i="13"/>
  <c r="E63" i="13"/>
  <c r="E64" i="13"/>
  <c r="E5" i="13"/>
  <c r="E6" i="13"/>
  <c r="E7" i="13"/>
  <c r="E128" i="13"/>
  <c r="E129" i="13"/>
  <c r="E130" i="13"/>
  <c r="E47" i="13"/>
  <c r="E48" i="13"/>
  <c r="E49" i="13"/>
  <c r="E8" i="13"/>
  <c r="E41" i="13"/>
  <c r="J2" i="12"/>
  <c r="L107" i="13"/>
  <c r="L104" i="13"/>
  <c r="L65" i="13"/>
  <c r="L32" i="13"/>
  <c r="L101" i="13"/>
  <c r="L89" i="13"/>
  <c r="L11" i="13"/>
  <c r="L125" i="13"/>
  <c r="L35" i="13"/>
  <c r="L134" i="13"/>
  <c r="L2" i="13"/>
  <c r="L50" i="13"/>
  <c r="L59" i="13"/>
  <c r="L29" i="13"/>
  <c r="L53" i="13"/>
  <c r="L86" i="13"/>
  <c r="L110" i="13"/>
  <c r="L92" i="13"/>
  <c r="L56" i="13"/>
  <c r="L83" i="13"/>
  <c r="L143" i="13"/>
  <c r="L38" i="13"/>
  <c r="L20" i="13"/>
  <c r="L80" i="13"/>
  <c r="L44" i="13"/>
  <c r="L17" i="13"/>
  <c r="L14" i="13"/>
  <c r="L122" i="13"/>
  <c r="L140" i="13"/>
  <c r="L77" i="13"/>
  <c r="L137" i="13"/>
  <c r="L98" i="13"/>
  <c r="L119" i="13"/>
  <c r="L71" i="13"/>
  <c r="L68" i="13"/>
  <c r="L23" i="13"/>
  <c r="L116" i="13"/>
  <c r="L74" i="13"/>
  <c r="L95" i="13"/>
  <c r="L131" i="13"/>
  <c r="L8" i="13"/>
  <c r="L47" i="13"/>
  <c r="L128" i="13"/>
  <c r="L5" i="13"/>
  <c r="L62" i="13"/>
  <c r="L113" i="13"/>
  <c r="L26" i="13"/>
  <c r="L41" i="13"/>
  <c r="P56" i="4"/>
  <c r="L56" i="4"/>
  <c r="M56" i="4" s="1"/>
  <c r="R56" i="4" s="1"/>
  <c r="J106" i="12"/>
  <c r="J105" i="12"/>
  <c r="J104" i="12"/>
  <c r="J103" i="12"/>
  <c r="J102" i="12"/>
  <c r="J101" i="12"/>
  <c r="P54" i="4"/>
  <c r="L54" i="4"/>
  <c r="M54" i="4" s="1"/>
  <c r="P53" i="4"/>
  <c r="P52" i="4"/>
  <c r="L53" i="4"/>
  <c r="M53" i="4" s="1"/>
  <c r="R53" i="4" s="1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L52" i="4"/>
  <c r="M52" i="4" s="1"/>
  <c r="R52" i="4" s="1"/>
  <c r="L51" i="4"/>
  <c r="M51" i="4" s="1"/>
  <c r="P51" i="4"/>
  <c r="L50" i="4"/>
  <c r="M50" i="4" s="1"/>
  <c r="P50" i="4"/>
  <c r="L49" i="4"/>
  <c r="M49" i="4" s="1"/>
  <c r="P49" i="4"/>
  <c r="R49" i="4" s="1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K22" i="9"/>
  <c r="L22" i="9" s="1"/>
  <c r="P44" i="4"/>
  <c r="P43" i="4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M37" i="4" s="1"/>
  <c r="P36" i="4"/>
  <c r="L36" i="4"/>
  <c r="P35" i="4"/>
  <c r="D2" i="6"/>
  <c r="D3" i="6"/>
  <c r="D4" i="6"/>
  <c r="D5" i="6"/>
  <c r="D6" i="6"/>
  <c r="D7" i="6"/>
  <c r="D8" i="6"/>
  <c r="D9" i="6"/>
  <c r="E2" i="6"/>
  <c r="E3" i="6"/>
  <c r="E4" i="6"/>
  <c r="E5" i="6"/>
  <c r="E6" i="6"/>
  <c r="E7" i="6"/>
  <c r="E8" i="6"/>
  <c r="E9" i="6"/>
  <c r="F45" i="7"/>
  <c r="F44" i="7"/>
  <c r="E133" i="5"/>
  <c r="E132" i="5"/>
  <c r="Q161" i="3"/>
  <c r="R161" i="3" s="1"/>
  <c r="P34" i="4"/>
  <c r="Q32" i="10"/>
  <c r="P32" i="10"/>
  <c r="O32" i="10"/>
  <c r="N32" i="10"/>
  <c r="M32" i="10"/>
  <c r="L32" i="10"/>
  <c r="K32" i="10"/>
  <c r="J32" i="10"/>
  <c r="I32" i="10"/>
  <c r="H32" i="10"/>
  <c r="G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P33" i="4"/>
  <c r="C4" i="10"/>
  <c r="C5" i="10"/>
  <c r="C6" i="10"/>
  <c r="C10" i="10"/>
  <c r="C14" i="10"/>
  <c r="C15" i="10"/>
  <c r="C16" i="10"/>
  <c r="C17" i="10"/>
  <c r="C18" i="10"/>
  <c r="C20" i="10"/>
  <c r="C21" i="10"/>
  <c r="C22" i="10"/>
  <c r="C23" i="10"/>
  <c r="C24" i="10"/>
  <c r="C25" i="10"/>
  <c r="C26" i="10"/>
  <c r="C28" i="10"/>
  <c r="C29" i="10"/>
  <c r="C30" i="10"/>
  <c r="C31" i="10"/>
  <c r="D5" i="10"/>
  <c r="D8" i="10"/>
  <c r="D10" i="10"/>
  <c r="D13" i="10"/>
  <c r="D14" i="10"/>
  <c r="D15" i="10"/>
  <c r="D16" i="10"/>
  <c r="D17" i="10"/>
  <c r="D21" i="10"/>
  <c r="D22" i="10"/>
  <c r="D23" i="10"/>
  <c r="D24" i="10"/>
  <c r="D25" i="10"/>
  <c r="D26" i="10"/>
  <c r="D27" i="10"/>
  <c r="D28" i="10"/>
  <c r="D29" i="10"/>
  <c r="D31" i="10"/>
  <c r="E5" i="10"/>
  <c r="E7" i="10"/>
  <c r="E9" i="10"/>
  <c r="E10" i="10"/>
  <c r="E11" i="10"/>
  <c r="E14" i="10"/>
  <c r="E16" i="10"/>
  <c r="E18" i="10"/>
  <c r="E19" i="10"/>
  <c r="E20" i="10"/>
  <c r="E21" i="10"/>
  <c r="E23" i="10"/>
  <c r="E24" i="10"/>
  <c r="E25" i="10"/>
  <c r="E26" i="10"/>
  <c r="E27" i="10"/>
  <c r="E28" i="10"/>
  <c r="E29" i="10"/>
  <c r="E30" i="10"/>
  <c r="E31" i="10"/>
  <c r="F4" i="10"/>
  <c r="F5" i="10"/>
  <c r="F8" i="10"/>
  <c r="F9" i="10"/>
  <c r="F11" i="10"/>
  <c r="F14" i="10"/>
  <c r="F16" i="10"/>
  <c r="F17" i="10"/>
  <c r="F18" i="10"/>
  <c r="F19" i="10"/>
  <c r="F20" i="10"/>
  <c r="F21" i="10"/>
  <c r="F22" i="10"/>
  <c r="F23" i="10"/>
  <c r="F26" i="10"/>
  <c r="F28" i="10"/>
  <c r="F31" i="10"/>
  <c r="G7" i="10"/>
  <c r="G8" i="10"/>
  <c r="G9" i="10"/>
  <c r="G10" i="10"/>
  <c r="G11" i="10"/>
  <c r="G12" i="10"/>
  <c r="G16" i="10"/>
  <c r="G18" i="10"/>
  <c r="G19" i="10"/>
  <c r="G21" i="10"/>
  <c r="G22" i="10"/>
  <c r="G23" i="10"/>
  <c r="G24" i="10"/>
  <c r="G26" i="10"/>
  <c r="G27" i="10"/>
  <c r="G28" i="10"/>
  <c r="G29" i="10"/>
  <c r="G30" i="10"/>
  <c r="G31" i="10"/>
  <c r="H8" i="10"/>
  <c r="H9" i="10"/>
  <c r="H13" i="10"/>
  <c r="H14" i="10"/>
  <c r="H15" i="10"/>
  <c r="H19" i="10"/>
  <c r="H21" i="10"/>
  <c r="H22" i="10"/>
  <c r="H23" i="10"/>
  <c r="H24" i="10"/>
  <c r="H26" i="10"/>
  <c r="H27" i="10"/>
  <c r="H28" i="10"/>
  <c r="H29" i="10"/>
  <c r="H31" i="10"/>
  <c r="I8" i="10"/>
  <c r="I10" i="10"/>
  <c r="I11" i="10"/>
  <c r="I15" i="10"/>
  <c r="I17" i="10"/>
  <c r="I18" i="10"/>
  <c r="I19" i="10"/>
  <c r="I20" i="10"/>
  <c r="I22" i="10"/>
  <c r="I24" i="10"/>
  <c r="I25" i="10"/>
  <c r="I28" i="10"/>
  <c r="I29" i="10"/>
  <c r="I30" i="10"/>
  <c r="I31" i="10"/>
  <c r="J4" i="10"/>
  <c r="Z4" i="10" s="1"/>
  <c r="J5" i="10"/>
  <c r="J6" i="10"/>
  <c r="J7" i="10"/>
  <c r="J8" i="10"/>
  <c r="J9" i="10"/>
  <c r="J10" i="10"/>
  <c r="J11" i="10"/>
  <c r="J16" i="10"/>
  <c r="J17" i="10"/>
  <c r="J18" i="10"/>
  <c r="J20" i="10"/>
  <c r="J21" i="10"/>
  <c r="J24" i="10"/>
  <c r="J25" i="10"/>
  <c r="J26" i="10"/>
  <c r="J27" i="10"/>
  <c r="J28" i="10"/>
  <c r="J29" i="10"/>
  <c r="J30" i="10"/>
  <c r="J31" i="10"/>
  <c r="K4" i="10"/>
  <c r="K5" i="10"/>
  <c r="K6" i="10"/>
  <c r="K7" i="10"/>
  <c r="K8" i="10"/>
  <c r="K11" i="10"/>
  <c r="K16" i="10"/>
  <c r="K17" i="10"/>
  <c r="K20" i="10"/>
  <c r="K21" i="10"/>
  <c r="K22" i="10"/>
  <c r="K23" i="10"/>
  <c r="K25" i="10"/>
  <c r="K26" i="10"/>
  <c r="K27" i="10"/>
  <c r="K28" i="10"/>
  <c r="K29" i="10"/>
  <c r="K30" i="10"/>
  <c r="K31" i="10"/>
  <c r="L4" i="10"/>
  <c r="AB4" i="10" s="1"/>
  <c r="L5" i="10"/>
  <c r="L6" i="10"/>
  <c r="L7" i="10"/>
  <c r="L8" i="10"/>
  <c r="L10" i="10"/>
  <c r="L11" i="10"/>
  <c r="L16" i="10"/>
  <c r="L17" i="10"/>
  <c r="L18" i="10"/>
  <c r="L20" i="10"/>
  <c r="L22" i="10"/>
  <c r="L23" i="10"/>
  <c r="L24" i="10"/>
  <c r="L26" i="10"/>
  <c r="L27" i="10"/>
  <c r="L28" i="10"/>
  <c r="L29" i="10"/>
  <c r="L30" i="10"/>
  <c r="L31" i="10"/>
  <c r="M4" i="10"/>
  <c r="AC4" i="10" s="1"/>
  <c r="M5" i="10"/>
  <c r="M6" i="10"/>
  <c r="M7" i="10"/>
  <c r="M8" i="10"/>
  <c r="M10" i="10"/>
  <c r="M11" i="10"/>
  <c r="M12" i="10"/>
  <c r="M13" i="10"/>
  <c r="M14" i="10"/>
  <c r="M15" i="10"/>
  <c r="M16" i="10"/>
  <c r="M17" i="10"/>
  <c r="M18" i="10"/>
  <c r="M19" i="10"/>
  <c r="M22" i="10"/>
  <c r="M23" i="10"/>
  <c r="M25" i="10"/>
  <c r="M26" i="10"/>
  <c r="M27" i="10"/>
  <c r="M28" i="10"/>
  <c r="M29" i="10"/>
  <c r="M31" i="10"/>
  <c r="N4" i="10"/>
  <c r="AD4" i="10" s="1"/>
  <c r="N5" i="10"/>
  <c r="N6" i="10"/>
  <c r="N8" i="10"/>
  <c r="N9" i="10"/>
  <c r="N12" i="10"/>
  <c r="N16" i="10"/>
  <c r="N18" i="10"/>
  <c r="N19" i="10"/>
  <c r="N20" i="10"/>
  <c r="N21" i="10"/>
  <c r="N22" i="10"/>
  <c r="N23" i="10"/>
  <c r="N24" i="10"/>
  <c r="N25" i="10"/>
  <c r="N26" i="10"/>
  <c r="N28" i="10"/>
  <c r="N29" i="10"/>
  <c r="N31" i="10"/>
  <c r="O4" i="10"/>
  <c r="AE4" i="10" s="1"/>
  <c r="O5" i="10"/>
  <c r="O14" i="10"/>
  <c r="O15" i="10"/>
  <c r="O16" i="10"/>
  <c r="O17" i="10"/>
  <c r="O21" i="10"/>
  <c r="O22" i="10"/>
  <c r="O24" i="10"/>
  <c r="O25" i="10"/>
  <c r="O26" i="10"/>
  <c r="O27" i="10"/>
  <c r="O28" i="10"/>
  <c r="O29" i="10"/>
  <c r="O30" i="10"/>
  <c r="O31" i="10"/>
  <c r="P4" i="10"/>
  <c r="AF4" i="10" s="1"/>
  <c r="P5" i="10"/>
  <c r="P6" i="10"/>
  <c r="P9" i="10"/>
  <c r="P10" i="10"/>
  <c r="P11" i="10"/>
  <c r="P15" i="10"/>
  <c r="P16" i="10"/>
  <c r="P17" i="10"/>
  <c r="P19" i="10"/>
  <c r="P20" i="10"/>
  <c r="P21" i="10"/>
  <c r="P22" i="10"/>
  <c r="P26" i="10"/>
  <c r="P28" i="10"/>
  <c r="P29" i="10"/>
  <c r="P30" i="10"/>
  <c r="P31" i="10"/>
  <c r="Q4" i="10"/>
  <c r="AG4" i="10" s="1"/>
  <c r="Q5" i="10"/>
  <c r="Q11" i="10"/>
  <c r="Q17" i="10"/>
  <c r="Q19" i="10"/>
  <c r="Q21" i="10"/>
  <c r="Q22" i="10"/>
  <c r="Q24" i="10"/>
  <c r="Q25" i="10"/>
  <c r="Q26" i="10"/>
  <c r="Q27" i="10"/>
  <c r="Q28" i="10"/>
  <c r="Q29" i="10"/>
  <c r="Q30" i="10"/>
  <c r="Q31" i="10"/>
  <c r="B5" i="10"/>
  <c r="B6" i="10"/>
  <c r="B7" i="10"/>
  <c r="B10" i="10"/>
  <c r="B11" i="10"/>
  <c r="B16" i="10"/>
  <c r="B20" i="10"/>
  <c r="B21" i="10"/>
  <c r="B22" i="10"/>
  <c r="B24" i="10"/>
  <c r="B27" i="10"/>
  <c r="B28" i="10"/>
  <c r="B29" i="10"/>
  <c r="B31" i="10"/>
  <c r="S5" i="10"/>
  <c r="S6" i="10"/>
  <c r="S4" i="10"/>
  <c r="E18" i="9"/>
  <c r="F18" i="9" s="1"/>
  <c r="E17" i="9"/>
  <c r="F17" i="9"/>
  <c r="E16" i="9"/>
  <c r="F16" i="9" s="1"/>
  <c r="E15" i="9"/>
  <c r="F15" i="9"/>
  <c r="E14" i="9"/>
  <c r="F14" i="9" s="1"/>
  <c r="E13" i="9"/>
  <c r="F13" i="9"/>
  <c r="Q160" i="3"/>
  <c r="R160" i="3" s="1"/>
  <c r="Q159" i="3"/>
  <c r="S159" i="3" s="1"/>
  <c r="Q158" i="3"/>
  <c r="S158" i="3" s="1"/>
  <c r="Q157" i="3"/>
  <c r="R157" i="3" s="1"/>
  <c r="Q156" i="3"/>
  <c r="S156" i="3" s="1"/>
  <c r="Q155" i="3"/>
  <c r="R155" i="3" s="1"/>
  <c r="P32" i="4"/>
  <c r="Q154" i="3"/>
  <c r="R154" i="3" s="1"/>
  <c r="P31" i="4"/>
  <c r="E131" i="5"/>
  <c r="E130" i="5"/>
  <c r="E129" i="5"/>
  <c r="E128" i="5"/>
  <c r="E127" i="5"/>
  <c r="E126" i="5"/>
  <c r="E125" i="5"/>
  <c r="E124" i="5"/>
  <c r="P30" i="4"/>
  <c r="P136" i="3"/>
  <c r="P135" i="3"/>
  <c r="P134" i="3"/>
  <c r="P133" i="3"/>
  <c r="P132" i="3"/>
  <c r="P131" i="3"/>
  <c r="Q153" i="3"/>
  <c r="E10" i="9"/>
  <c r="F10" i="9" s="1"/>
  <c r="E9" i="9"/>
  <c r="F9" i="9" s="1"/>
  <c r="E8" i="9"/>
  <c r="F8" i="9" s="1"/>
  <c r="E7" i="9"/>
  <c r="F7" i="9" s="1"/>
  <c r="Q152" i="3"/>
  <c r="R152" i="3" s="1"/>
  <c r="Q151" i="3"/>
  <c r="Q150" i="3"/>
  <c r="Q149" i="3"/>
  <c r="R149" i="3" s="1"/>
  <c r="P29" i="4"/>
  <c r="Q148" i="3"/>
  <c r="S148" i="3" s="1"/>
  <c r="Q147" i="3"/>
  <c r="S147" i="3" s="1"/>
  <c r="P28" i="4"/>
  <c r="E11" i="9"/>
  <c r="F11" i="9" s="1"/>
  <c r="E6" i="9"/>
  <c r="F6" i="9" s="1"/>
  <c r="M26" i="4"/>
  <c r="R26" i="4" s="1"/>
  <c r="S26" i="4" s="1"/>
  <c r="Q146" i="3"/>
  <c r="R146" i="3" s="1"/>
  <c r="Q145" i="3"/>
  <c r="R145" i="3" s="1"/>
  <c r="P27" i="4"/>
  <c r="E5" i="9"/>
  <c r="F5" i="9"/>
  <c r="P25" i="4"/>
  <c r="L25" i="4"/>
  <c r="M25" i="4" s="1"/>
  <c r="R25" i="4"/>
  <c r="P24" i="4"/>
  <c r="Q130" i="3"/>
  <c r="R130" i="3" s="1"/>
  <c r="Q129" i="3"/>
  <c r="S129" i="3" s="1"/>
  <c r="P130" i="3"/>
  <c r="P129" i="3"/>
  <c r="O129" i="3"/>
  <c r="N129" i="3"/>
  <c r="O130" i="3"/>
  <c r="N130" i="3"/>
  <c r="P23" i="4"/>
  <c r="R23" i="4" s="1"/>
  <c r="S23" i="4" s="1"/>
  <c r="L23" i="4"/>
  <c r="M23" i="4" s="1"/>
  <c r="L22" i="4"/>
  <c r="M22" i="4" s="1"/>
  <c r="R22" i="4" s="1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20" i="4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Q121" i="3"/>
  <c r="R121" i="3" s="1"/>
  <c r="Q20" i="10" s="1"/>
  <c r="Q74" i="3"/>
  <c r="S74" i="3" s="1"/>
  <c r="Q82" i="3"/>
  <c r="R82" i="3" s="1"/>
  <c r="Q14" i="10" s="1"/>
  <c r="Q98" i="3"/>
  <c r="R98" i="3" s="1"/>
  <c r="N12" i="3"/>
  <c r="O12" i="3"/>
  <c r="P12" i="3"/>
  <c r="N26" i="3"/>
  <c r="O26" i="3"/>
  <c r="P26" i="3"/>
  <c r="N32" i="3"/>
  <c r="O32" i="3"/>
  <c r="P32" i="3"/>
  <c r="N35" i="3"/>
  <c r="O35" i="3"/>
  <c r="P35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3" i="3"/>
  <c r="O33" i="3"/>
  <c r="P33" i="3"/>
  <c r="N34" i="3"/>
  <c r="O34" i="3"/>
  <c r="P34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Q43" i="3"/>
  <c r="R43" i="3" s="1"/>
  <c r="K10" i="10" s="1"/>
  <c r="Q44" i="3"/>
  <c r="R44" i="3" s="1"/>
  <c r="F10" i="10" s="1"/>
  <c r="Q45" i="3"/>
  <c r="R45" i="3" s="1"/>
  <c r="Q10" i="10" s="1"/>
  <c r="Q46" i="3"/>
  <c r="R46" i="3" s="1"/>
  <c r="O10" i="10" s="1"/>
  <c r="Q47" i="3"/>
  <c r="R47" i="3" s="1"/>
  <c r="H10" i="10" s="1"/>
  <c r="Q48" i="3"/>
  <c r="R48" i="3" s="1"/>
  <c r="N10" i="10" s="1"/>
  <c r="Q49" i="3"/>
  <c r="R49" i="3" s="1"/>
  <c r="N11" i="10" s="1"/>
  <c r="Q50" i="3"/>
  <c r="R50" i="3" s="1"/>
  <c r="H11" i="10" s="1"/>
  <c r="Q51" i="3"/>
  <c r="R51" i="3" s="1"/>
  <c r="O11" i="10" s="1"/>
  <c r="Q52" i="3"/>
  <c r="R52" i="3" s="1"/>
  <c r="C11" i="10" s="1"/>
  <c r="Q53" i="3"/>
  <c r="R53" i="3" s="1"/>
  <c r="D11" i="10" s="1"/>
  <c r="Q54" i="3"/>
  <c r="R54" i="3" s="1"/>
  <c r="B12" i="10" s="1"/>
  <c r="Q55" i="3"/>
  <c r="R55" i="3" s="1"/>
  <c r="Q56" i="3"/>
  <c r="Q57" i="3"/>
  <c r="R57" i="3" s="1"/>
  <c r="O12" i="10" s="1"/>
  <c r="Q58" i="3"/>
  <c r="R58" i="3" s="1"/>
  <c r="L12" i="10" s="1"/>
  <c r="Q59" i="3"/>
  <c r="R59" i="3" s="1"/>
  <c r="Q60" i="3"/>
  <c r="R60" i="3" s="1"/>
  <c r="D12" i="10" s="1"/>
  <c r="Q61" i="3"/>
  <c r="S61" i="3" s="1"/>
  <c r="Q62" i="3"/>
  <c r="R62" i="3" s="1"/>
  <c r="Q63" i="3"/>
  <c r="R63" i="3" s="1"/>
  <c r="Q64" i="3"/>
  <c r="R64" i="3" s="1"/>
  <c r="F12" i="10" s="1"/>
  <c r="Q65" i="3"/>
  <c r="R65" i="3" s="1"/>
  <c r="K12" i="10" s="1"/>
  <c r="Q66" i="3"/>
  <c r="R66" i="3" s="1"/>
  <c r="E12" i="10" s="1"/>
  <c r="Q67" i="3"/>
  <c r="S67" i="3" s="1"/>
  <c r="Q68" i="3"/>
  <c r="R68" i="3" s="1"/>
  <c r="Q69" i="3"/>
  <c r="S69" i="3" s="1"/>
  <c r="Q70" i="3"/>
  <c r="R70" i="3" s="1"/>
  <c r="O13" i="10" s="1"/>
  <c r="Q71" i="3"/>
  <c r="R71" i="3" s="1"/>
  <c r="Q72" i="3"/>
  <c r="R72" i="3" s="1"/>
  <c r="C13" i="10" s="1"/>
  <c r="Q73" i="3"/>
  <c r="R73" i="3" s="1"/>
  <c r="J13" i="10" s="1"/>
  <c r="Q75" i="3"/>
  <c r="R75" i="3" s="1"/>
  <c r="F13" i="10" s="1"/>
  <c r="Q76" i="3"/>
  <c r="S76" i="3" s="1"/>
  <c r="Q77" i="3"/>
  <c r="R77" i="3" s="1"/>
  <c r="E13" i="10" s="1"/>
  <c r="Q78" i="3"/>
  <c r="R78" i="3" s="1"/>
  <c r="G13" i="10" s="1"/>
  <c r="Q79" i="3"/>
  <c r="R79" i="3" s="1"/>
  <c r="P13" i="10" s="1"/>
  <c r="Q80" i="3"/>
  <c r="R80" i="3" s="1"/>
  <c r="Q81" i="3"/>
  <c r="R81" i="3" s="1"/>
  <c r="K14" i="10" s="1"/>
  <c r="Q83" i="3"/>
  <c r="S83" i="3" s="1"/>
  <c r="Q84" i="3"/>
  <c r="R84" i="3" s="1"/>
  <c r="P14" i="10" s="1"/>
  <c r="Q85" i="3"/>
  <c r="R85" i="3" s="1"/>
  <c r="B14" i="10" s="1"/>
  <c r="Q86" i="3"/>
  <c r="R86" i="3" s="1"/>
  <c r="I14" i="10" s="1"/>
  <c r="Q87" i="3"/>
  <c r="S87" i="3" s="1"/>
  <c r="Q88" i="3"/>
  <c r="R88" i="3" s="1"/>
  <c r="N14" i="10" s="1"/>
  <c r="Q89" i="3"/>
  <c r="R89" i="3" s="1"/>
  <c r="Q90" i="3"/>
  <c r="R90" i="3" s="1"/>
  <c r="B15" i="10" s="1"/>
  <c r="Q91" i="3"/>
  <c r="R91" i="3" s="1"/>
  <c r="L15" i="10" s="1"/>
  <c r="Q92" i="3"/>
  <c r="R92" i="3" s="1"/>
  <c r="J15" i="10" s="1"/>
  <c r="Q93" i="3"/>
  <c r="R93" i="3" s="1"/>
  <c r="Q15" i="10" s="1"/>
  <c r="Q94" i="3"/>
  <c r="R94" i="3" s="1"/>
  <c r="K15" i="10" s="1"/>
  <c r="Q95" i="3"/>
  <c r="R95" i="3" s="1"/>
  <c r="G15" i="10" s="1"/>
  <c r="Q96" i="3"/>
  <c r="R96" i="3" s="1"/>
  <c r="F15" i="10" s="1"/>
  <c r="Q97" i="3"/>
  <c r="R97" i="3" s="1"/>
  <c r="Q99" i="3"/>
  <c r="R99" i="3" s="1"/>
  <c r="I16" i="10" s="1"/>
  <c r="Q100" i="3"/>
  <c r="S100" i="3" s="1"/>
  <c r="Q101" i="3"/>
  <c r="R101" i="3" s="1"/>
  <c r="N17" i="10" s="1"/>
  <c r="Q102" i="3"/>
  <c r="R102" i="3" s="1"/>
  <c r="H17" i="10" s="1"/>
  <c r="Q103" i="3"/>
  <c r="R103" i="3" s="1"/>
  <c r="E17" i="10" s="1"/>
  <c r="Q104" i="3"/>
  <c r="S104" i="3" s="1"/>
  <c r="Q105" i="3"/>
  <c r="R105" i="3" s="1"/>
  <c r="B17" i="10" s="1"/>
  <c r="Q106" i="3"/>
  <c r="R106" i="3" s="1"/>
  <c r="Q107" i="3"/>
  <c r="R107" i="3" s="1"/>
  <c r="Q18" i="10" s="1"/>
  <c r="Q108" i="3"/>
  <c r="R108" i="3" s="1"/>
  <c r="P18" i="10" s="1"/>
  <c r="Q109" i="3"/>
  <c r="R109" i="3" s="1"/>
  <c r="D18" i="10" s="1"/>
  <c r="Q110" i="3"/>
  <c r="R110" i="3" s="1"/>
  <c r="O18" i="10" s="1"/>
  <c r="Q111" i="3"/>
  <c r="R111" i="3" s="1"/>
  <c r="H18" i="10" s="1"/>
  <c r="Q112" i="3"/>
  <c r="R112" i="3" s="1"/>
  <c r="Q113" i="3"/>
  <c r="R113" i="3" s="1"/>
  <c r="B19" i="10" s="1"/>
  <c r="Q114" i="3"/>
  <c r="R114" i="3" s="1"/>
  <c r="Q115" i="3"/>
  <c r="R115" i="3" s="1"/>
  <c r="C19" i="10" s="1"/>
  <c r="Q116" i="3"/>
  <c r="S116" i="3" s="1"/>
  <c r="Q117" i="3"/>
  <c r="R117" i="3" s="1"/>
  <c r="J19" i="10" s="1"/>
  <c r="Q118" i="3"/>
  <c r="R118" i="3" s="1"/>
  <c r="K19" i="10" s="1"/>
  <c r="Q119" i="3"/>
  <c r="R119" i="3" s="1"/>
  <c r="L19" i="10" s="1"/>
  <c r="Q120" i="3"/>
  <c r="R120" i="3" s="1"/>
  <c r="Q122" i="3"/>
  <c r="R122" i="3" s="1"/>
  <c r="D20" i="10" s="1"/>
  <c r="Q123" i="3"/>
  <c r="R123" i="3" s="1"/>
  <c r="Q124" i="3"/>
  <c r="R124" i="3" s="1"/>
  <c r="H20" i="10" s="1"/>
  <c r="Q125" i="3"/>
  <c r="R125" i="3" s="1"/>
  <c r="M20" i="10" s="1"/>
  <c r="Q126" i="3"/>
  <c r="R126" i="3" s="1"/>
  <c r="L21" i="10" s="1"/>
  <c r="Q127" i="3"/>
  <c r="R127" i="3" s="1"/>
  <c r="Q128" i="3"/>
  <c r="R128" i="3" s="1"/>
  <c r="M21" i="10" s="1"/>
  <c r="R129" i="3"/>
  <c r="J22" i="10" s="1"/>
  <c r="Q131" i="3"/>
  <c r="R131" i="3" s="1"/>
  <c r="I23" i="10" s="1"/>
  <c r="Q132" i="3"/>
  <c r="R132" i="3" s="1"/>
  <c r="Q133" i="3"/>
  <c r="R133" i="3" s="1"/>
  <c r="B23" i="10" s="1"/>
  <c r="Q134" i="3"/>
  <c r="S134" i="3" s="1"/>
  <c r="Q135" i="3"/>
  <c r="R135" i="3" s="1"/>
  <c r="Q23" i="10" s="1"/>
  <c r="Q136" i="3"/>
  <c r="S136" i="3" s="1"/>
  <c r="Q137" i="3"/>
  <c r="R137" i="3" s="1"/>
  <c r="P24" i="10" s="1"/>
  <c r="Q138" i="3"/>
  <c r="R138" i="3" s="1"/>
  <c r="Q139" i="3"/>
  <c r="R139" i="3" s="1"/>
  <c r="K24" i="10" s="1"/>
  <c r="Q140" i="3"/>
  <c r="R140" i="3" s="1"/>
  <c r="Q141" i="3"/>
  <c r="R141" i="3" s="1"/>
  <c r="B25" i="10" s="1"/>
  <c r="Q142" i="3"/>
  <c r="S142" i="3" s="1"/>
  <c r="Q143" i="3"/>
  <c r="R143" i="3" s="1"/>
  <c r="L25" i="10" s="1"/>
  <c r="Q144" i="3"/>
  <c r="S144" i="3" s="1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8" i="4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7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P100" i="3"/>
  <c r="O100" i="3"/>
  <c r="N100" i="3"/>
  <c r="P99" i="3"/>
  <c r="O99" i="3"/>
  <c r="N99" i="3"/>
  <c r="P98" i="3"/>
  <c r="O98" i="3"/>
  <c r="N98" i="3"/>
  <c r="P16" i="4"/>
  <c r="L15" i="4"/>
  <c r="M15" i="4" s="1"/>
  <c r="R15" i="4" s="1"/>
  <c r="P97" i="3"/>
  <c r="O97" i="3"/>
  <c r="N97" i="3"/>
  <c r="P96" i="3"/>
  <c r="O96" i="3"/>
  <c r="N96" i="3"/>
  <c r="P95" i="3"/>
  <c r="O95" i="3"/>
  <c r="N95" i="3"/>
  <c r="P94" i="3"/>
  <c r="O94" i="3"/>
  <c r="N94" i="3"/>
  <c r="P93" i="3"/>
  <c r="O93" i="3"/>
  <c r="N93" i="3"/>
  <c r="P92" i="3"/>
  <c r="N92" i="3"/>
  <c r="O92" i="3"/>
  <c r="P91" i="3"/>
  <c r="O91" i="3"/>
  <c r="N91" i="3"/>
  <c r="P90" i="3"/>
  <c r="O90" i="3"/>
  <c r="N90" i="3"/>
  <c r="P89" i="3"/>
  <c r="O89" i="3"/>
  <c r="N89" i="3"/>
  <c r="P14" i="4"/>
  <c r="P88" i="3"/>
  <c r="O88" i="3"/>
  <c r="N88" i="3"/>
  <c r="P87" i="3"/>
  <c r="O87" i="3"/>
  <c r="N87" i="3"/>
  <c r="P86" i="3"/>
  <c r="O86" i="3"/>
  <c r="N86" i="3"/>
  <c r="P85" i="3"/>
  <c r="O85" i="3"/>
  <c r="N85" i="3"/>
  <c r="P84" i="3"/>
  <c r="O84" i="3"/>
  <c r="N84" i="3"/>
  <c r="P83" i="3"/>
  <c r="O83" i="3"/>
  <c r="N83" i="3"/>
  <c r="P82" i="3"/>
  <c r="O82" i="3"/>
  <c r="N82" i="3"/>
  <c r="P81" i="3"/>
  <c r="O81" i="3"/>
  <c r="N81" i="3"/>
  <c r="P80" i="3"/>
  <c r="O80" i="3"/>
  <c r="N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P79" i="3"/>
  <c r="O79" i="3"/>
  <c r="N79" i="3"/>
  <c r="P78" i="3"/>
  <c r="O78" i="3"/>
  <c r="N78" i="3"/>
  <c r="P77" i="3"/>
  <c r="O77" i="3"/>
  <c r="N77" i="3"/>
  <c r="P76" i="3"/>
  <c r="O76" i="3"/>
  <c r="N76" i="3"/>
  <c r="P75" i="3"/>
  <c r="O75" i="3"/>
  <c r="N75" i="3"/>
  <c r="P74" i="3"/>
  <c r="O74" i="3"/>
  <c r="N74" i="3"/>
  <c r="P73" i="3"/>
  <c r="O73" i="3"/>
  <c r="N73" i="3"/>
  <c r="P72" i="3"/>
  <c r="O72" i="3"/>
  <c r="N72" i="3"/>
  <c r="P71" i="3"/>
  <c r="O71" i="3"/>
  <c r="N71" i="3"/>
  <c r="P70" i="3"/>
  <c r="O70" i="3"/>
  <c r="N70" i="3"/>
  <c r="P69" i="3"/>
  <c r="O69" i="3"/>
  <c r="N69" i="3"/>
  <c r="P68" i="3"/>
  <c r="O68" i="3"/>
  <c r="N68" i="3"/>
  <c r="P67" i="3"/>
  <c r="O67" i="3"/>
  <c r="N67" i="3"/>
  <c r="L12" i="4"/>
  <c r="M12" i="4" s="1"/>
  <c r="P12" i="4"/>
  <c r="P66" i="3"/>
  <c r="O66" i="3"/>
  <c r="N66" i="3"/>
  <c r="P65" i="3"/>
  <c r="O65" i="3"/>
  <c r="N65" i="3"/>
  <c r="P64" i="3"/>
  <c r="O64" i="3"/>
  <c r="N64" i="3"/>
  <c r="P63" i="3"/>
  <c r="O63" i="3"/>
  <c r="N63" i="3"/>
  <c r="P62" i="3"/>
  <c r="O62" i="3"/>
  <c r="N62" i="3"/>
  <c r="P61" i="3"/>
  <c r="O61" i="3"/>
  <c r="N61" i="3"/>
  <c r="P60" i="3"/>
  <c r="O60" i="3"/>
  <c r="N60" i="3"/>
  <c r="P59" i="3"/>
  <c r="O59" i="3"/>
  <c r="N59" i="3"/>
  <c r="P58" i="3"/>
  <c r="O58" i="3"/>
  <c r="N58" i="3"/>
  <c r="P57" i="3"/>
  <c r="O57" i="3"/>
  <c r="N57" i="3"/>
  <c r="P56" i="3"/>
  <c r="O56" i="3"/>
  <c r="N56" i="3"/>
  <c r="P55" i="3"/>
  <c r="O55" i="3"/>
  <c r="N55" i="3"/>
  <c r="P54" i="3"/>
  <c r="O54" i="3"/>
  <c r="N54" i="3"/>
  <c r="L11" i="4"/>
  <c r="M11" i="4" s="1"/>
  <c r="P11" i="4"/>
  <c r="P53" i="3"/>
  <c r="O53" i="3"/>
  <c r="N53" i="3"/>
  <c r="P52" i="3"/>
  <c r="O52" i="3"/>
  <c r="N52" i="3"/>
  <c r="P51" i="3"/>
  <c r="O51" i="3"/>
  <c r="N51" i="3"/>
  <c r="P50" i="3"/>
  <c r="O50" i="3"/>
  <c r="N50" i="3"/>
  <c r="P49" i="3"/>
  <c r="O49" i="3"/>
  <c r="N49" i="3"/>
  <c r="P10" i="4"/>
  <c r="L10" i="4"/>
  <c r="M10" i="4" s="1"/>
  <c r="L9" i="4"/>
  <c r="M9" i="4" s="1"/>
  <c r="R9" i="4" s="1"/>
  <c r="S9" i="4" s="1"/>
  <c r="O9" i="4"/>
  <c r="L8" i="4"/>
  <c r="M8" i="4" s="1"/>
  <c r="R8" i="4" s="1"/>
  <c r="S8" i="4" s="1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 s="1"/>
  <c r="L6" i="4"/>
  <c r="M6" i="4" s="1"/>
  <c r="L7" i="4"/>
  <c r="M7" i="4" s="1"/>
  <c r="L13" i="4"/>
  <c r="M13" i="4"/>
  <c r="R13" i="4" s="1"/>
  <c r="L14" i="4"/>
  <c r="M14" i="4" s="1"/>
  <c r="L16" i="4"/>
  <c r="M16" i="4"/>
  <c r="R16" i="4" s="1"/>
  <c r="L17" i="4"/>
  <c r="M17" i="4" s="1"/>
  <c r="R17" i="4" s="1"/>
  <c r="L18" i="4"/>
  <c r="M18" i="4"/>
  <c r="L19" i="4"/>
  <c r="M19" i="4" s="1"/>
  <c r="R19" i="4" s="1"/>
  <c r="L20" i="4"/>
  <c r="M20" i="4"/>
  <c r="L21" i="4"/>
  <c r="M21" i="4" s="1"/>
  <c r="R21" i="4" s="1"/>
  <c r="L24" i="4"/>
  <c r="M24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M36" i="4"/>
  <c r="R36" i="4" s="1"/>
  <c r="L38" i="4"/>
  <c r="M38" i="4" s="1"/>
  <c r="R38" i="4" s="1"/>
  <c r="L39" i="4"/>
  <c r="M39" i="4"/>
  <c r="R39" i="4" s="1"/>
  <c r="L40" i="4"/>
  <c r="M40" i="4" s="1"/>
  <c r="R40" i="4" s="1"/>
  <c r="M41" i="4"/>
  <c r="R41" i="4"/>
  <c r="S41" i="4" s="1"/>
  <c r="L42" i="4"/>
  <c r="M42" i="4"/>
  <c r="R42" i="4" s="1"/>
  <c r="S42" i="4" s="1"/>
  <c r="L43" i="4"/>
  <c r="M43" i="4"/>
  <c r="R43" i="4" s="1"/>
  <c r="S43" i="4" s="1"/>
  <c r="L44" i="4"/>
  <c r="M44" i="4" s="1"/>
  <c r="R44" i="4" s="1"/>
  <c r="S44" i="4" s="1"/>
  <c r="L45" i="4"/>
  <c r="M45" i="4"/>
  <c r="R45" i="4"/>
  <c r="S45" i="4" s="1"/>
  <c r="L46" i="4"/>
  <c r="M46" i="4" s="1"/>
  <c r="R46" i="4" s="1"/>
  <c r="S46" i="4" s="1"/>
  <c r="L47" i="4"/>
  <c r="M47" i="4" s="1"/>
  <c r="R47" i="4" s="1"/>
  <c r="S47" i="4" s="1"/>
  <c r="L48" i="4"/>
  <c r="M48" i="4" s="1"/>
  <c r="R48" i="4" s="1"/>
  <c r="S48" i="4" s="1"/>
  <c r="L4" i="4"/>
  <c r="M4" i="4"/>
  <c r="R4" i="4"/>
  <c r="S4" i="4" s="1"/>
  <c r="L3" i="4"/>
  <c r="N4" i="4"/>
  <c r="O4" i="4" s="1"/>
  <c r="N3" i="4"/>
  <c r="P3" i="4" s="1"/>
  <c r="M3" i="4"/>
  <c r="R14" i="4" l="1"/>
  <c r="D10" i="6"/>
  <c r="N18" i="5"/>
  <c r="AF18" i="5"/>
  <c r="W19" i="5"/>
  <c r="N23" i="5"/>
  <c r="K19" i="5"/>
  <c r="Q24" i="5"/>
  <c r="T15" i="5"/>
  <c r="Q19" i="5"/>
  <c r="W24" i="5"/>
  <c r="AF23" i="5"/>
  <c r="AC18" i="5"/>
  <c r="O3" i="4"/>
  <c r="M9" i="6"/>
  <c r="M14" i="6"/>
  <c r="M17" i="6"/>
  <c r="M7" i="6"/>
  <c r="G10" i="11" s="1"/>
  <c r="K23" i="5"/>
  <c r="R14" i="6"/>
  <c r="N25" i="11" s="1"/>
  <c r="AC23" i="5"/>
  <c r="T24" i="5"/>
  <c r="Z19" i="5"/>
  <c r="Z24" i="5"/>
  <c r="E10" i="6"/>
  <c r="AA6" i="10"/>
  <c r="AA4" i="10"/>
  <c r="S59" i="3"/>
  <c r="S101" i="3"/>
  <c r="S115" i="3"/>
  <c r="U115" i="3" s="1"/>
  <c r="S99" i="3"/>
  <c r="U99" i="3" s="1"/>
  <c r="S65" i="3"/>
  <c r="U65" i="3" s="1"/>
  <c r="R83" i="3"/>
  <c r="J14" i="10" s="1"/>
  <c r="S58" i="3"/>
  <c r="U58" i="3" s="1"/>
  <c r="S72" i="3"/>
  <c r="U72" i="3" s="1"/>
  <c r="S121" i="3"/>
  <c r="U121" i="3" s="1"/>
  <c r="R142" i="3"/>
  <c r="H25" i="10" s="1"/>
  <c r="R74" i="3"/>
  <c r="Q13" i="10" s="1"/>
  <c r="S78" i="3"/>
  <c r="U78" i="3" s="1"/>
  <c r="S113" i="3"/>
  <c r="U113" i="3" s="1"/>
  <c r="S64" i="3"/>
  <c r="U64" i="3" s="1"/>
  <c r="S91" i="3"/>
  <c r="U91" i="3" s="1"/>
  <c r="S84" i="3"/>
  <c r="U84" i="3" s="1"/>
  <c r="S50" i="3"/>
  <c r="U50" i="3" s="1"/>
  <c r="U129" i="3"/>
  <c r="R158" i="3"/>
  <c r="S82" i="3"/>
  <c r="U82" i="3" s="1"/>
  <c r="S96" i="3"/>
  <c r="U96" i="3" s="1"/>
  <c r="S71" i="3"/>
  <c r="U71" i="3" s="1"/>
  <c r="S92" i="3"/>
  <c r="U92" i="3" s="1"/>
  <c r="S119" i="3"/>
  <c r="U119" i="3" s="1"/>
  <c r="S85" i="3"/>
  <c r="U85" i="3" s="1"/>
  <c r="R61" i="3"/>
  <c r="P12" i="10" s="1"/>
  <c r="R156" i="3"/>
  <c r="U156" i="3" s="1"/>
  <c r="S161" i="3"/>
  <c r="U161" i="3" s="1"/>
  <c r="Q25" i="3"/>
  <c r="R25" i="3" s="1"/>
  <c r="P7" i="10" s="1"/>
  <c r="AF7" i="10" s="1"/>
  <c r="R100" i="3"/>
  <c r="H16" i="10" s="1"/>
  <c r="R76" i="3"/>
  <c r="K13" i="10" s="1"/>
  <c r="R147" i="3"/>
  <c r="I26" i="10" s="1"/>
  <c r="Q8" i="3"/>
  <c r="R8" i="3" s="1"/>
  <c r="S93" i="3"/>
  <c r="S73" i="3"/>
  <c r="S54" i="3"/>
  <c r="U54" i="3" s="1"/>
  <c r="R116" i="3"/>
  <c r="D19" i="10" s="1"/>
  <c r="R87" i="3"/>
  <c r="L14" i="10" s="1"/>
  <c r="Q28" i="3"/>
  <c r="R28" i="3" s="1"/>
  <c r="B8" i="10" s="1"/>
  <c r="Q22" i="3"/>
  <c r="T22" i="3" s="1"/>
  <c r="Q10" i="3"/>
  <c r="R10" i="3" s="1"/>
  <c r="H5" i="10" s="1"/>
  <c r="R159" i="3"/>
  <c r="U159" i="3" s="1"/>
  <c r="AE5" i="10"/>
  <c r="Q2" i="3"/>
  <c r="S2" i="3" s="1"/>
  <c r="S110" i="3"/>
  <c r="U110" i="3" s="1"/>
  <c r="S46" i="3"/>
  <c r="U46" i="3" s="1"/>
  <c r="S141" i="3"/>
  <c r="U141" i="3" s="1"/>
  <c r="S103" i="3"/>
  <c r="U103" i="3" s="1"/>
  <c r="S88" i="3"/>
  <c r="U88" i="3" s="1"/>
  <c r="S66" i="3"/>
  <c r="U66" i="3" s="1"/>
  <c r="S45" i="3"/>
  <c r="U45" i="3" s="1"/>
  <c r="Q21" i="3"/>
  <c r="S21" i="3" s="1"/>
  <c r="Q13" i="3"/>
  <c r="S13" i="3" s="1"/>
  <c r="S133" i="3"/>
  <c r="U133" i="3" s="1"/>
  <c r="S102" i="3"/>
  <c r="U102" i="3" s="1"/>
  <c r="S43" i="3"/>
  <c r="U43" i="3" s="1"/>
  <c r="S53" i="3"/>
  <c r="T53" i="3" s="1"/>
  <c r="Q42" i="3"/>
  <c r="T42" i="3" s="1"/>
  <c r="Q36" i="3"/>
  <c r="S36" i="3" s="1"/>
  <c r="R136" i="3"/>
  <c r="P23" i="10" s="1"/>
  <c r="R69" i="3"/>
  <c r="I13" i="10" s="1"/>
  <c r="Q17" i="3"/>
  <c r="R17" i="3" s="1"/>
  <c r="F24" i="10"/>
  <c r="R104" i="3"/>
  <c r="G17" i="10" s="1"/>
  <c r="Q38" i="3"/>
  <c r="R38" i="3" s="1"/>
  <c r="Q6" i="3"/>
  <c r="R6" i="3" s="1"/>
  <c r="H4" i="10" s="1"/>
  <c r="Q32" i="3"/>
  <c r="S32" i="3" s="1"/>
  <c r="S131" i="3"/>
  <c r="U131" i="3" s="1"/>
  <c r="S107" i="3"/>
  <c r="U107" i="3" s="1"/>
  <c r="U101" i="3"/>
  <c r="S122" i="3"/>
  <c r="U122" i="3" s="1"/>
  <c r="S108" i="3"/>
  <c r="U108" i="3" s="1"/>
  <c r="S95" i="3"/>
  <c r="U95" i="3" s="1"/>
  <c r="S138" i="3"/>
  <c r="U138" i="3" s="1"/>
  <c r="Q40" i="3"/>
  <c r="R40" i="3" s="1"/>
  <c r="Q30" i="3"/>
  <c r="S30" i="3" s="1"/>
  <c r="Q19" i="3"/>
  <c r="S19" i="3" s="1"/>
  <c r="S135" i="3"/>
  <c r="U135" i="3" s="1"/>
  <c r="S63" i="3"/>
  <c r="U63" i="3" s="1"/>
  <c r="R144" i="3"/>
  <c r="Q33" i="3"/>
  <c r="R33" i="3" s="1"/>
  <c r="Q5" i="3"/>
  <c r="R5" i="3" s="1"/>
  <c r="I4" i="11" s="1"/>
  <c r="S154" i="3"/>
  <c r="U154" i="3" s="1"/>
  <c r="S157" i="3"/>
  <c r="U157" i="3" s="1"/>
  <c r="Q29" i="3"/>
  <c r="S29" i="3" s="1"/>
  <c r="Q15" i="3"/>
  <c r="R15" i="3" s="1"/>
  <c r="Q23" i="3"/>
  <c r="R23" i="3" s="1"/>
  <c r="I7" i="10" s="1"/>
  <c r="Q4" i="3"/>
  <c r="S4" i="3" s="1"/>
  <c r="S155" i="3"/>
  <c r="U155" i="3" s="1"/>
  <c r="S126" i="3"/>
  <c r="U126" i="3" s="1"/>
  <c r="S109" i="3"/>
  <c r="U109" i="3" s="1"/>
  <c r="R67" i="3"/>
  <c r="N13" i="10" s="1"/>
  <c r="Q41" i="3"/>
  <c r="S41" i="3" s="1"/>
  <c r="Q11" i="3"/>
  <c r="R11" i="3" s="1"/>
  <c r="D6" i="10" s="1"/>
  <c r="Q12" i="3"/>
  <c r="R12" i="3" s="1"/>
  <c r="Q6" i="10" s="1"/>
  <c r="R148" i="3"/>
  <c r="B26" i="10" s="1"/>
  <c r="AA5" i="10"/>
  <c r="Z9" i="10"/>
  <c r="AB5" i="10"/>
  <c r="Z7" i="10"/>
  <c r="B18" i="10"/>
  <c r="I21" i="10"/>
  <c r="R37" i="4"/>
  <c r="S37" i="4" s="1"/>
  <c r="E22" i="10"/>
  <c r="C12" i="10"/>
  <c r="U59" i="3"/>
  <c r="Q16" i="10"/>
  <c r="G20" i="10"/>
  <c r="U93" i="3"/>
  <c r="S120" i="3"/>
  <c r="U120" i="3" s="1"/>
  <c r="S49" i="3"/>
  <c r="U49" i="3" s="1"/>
  <c r="R20" i="4"/>
  <c r="S20" i="4" s="1"/>
  <c r="S139" i="3"/>
  <c r="U139" i="3" s="1"/>
  <c r="S111" i="3"/>
  <c r="U111" i="3" s="1"/>
  <c r="Q34" i="3"/>
  <c r="R34" i="3" s="1"/>
  <c r="K9" i="10" s="1"/>
  <c r="Q16" i="3"/>
  <c r="S16" i="3" s="1"/>
  <c r="Q26" i="3"/>
  <c r="R26" i="3" s="1"/>
  <c r="Q7" i="10" s="1"/>
  <c r="R10" i="4"/>
  <c r="S10" i="4" s="1"/>
  <c r="F2" i="6"/>
  <c r="F5" i="6"/>
  <c r="F6" i="6"/>
  <c r="Q37" i="3"/>
  <c r="S37" i="3" s="1"/>
  <c r="Q18" i="3"/>
  <c r="R18" i="3" s="1"/>
  <c r="O6" i="10" s="1"/>
  <c r="Q35" i="3"/>
  <c r="H20" i="8"/>
  <c r="S160" i="3"/>
  <c r="U160" i="3" s="1"/>
  <c r="AD5" i="10"/>
  <c r="R50" i="4"/>
  <c r="S130" i="3"/>
  <c r="U130" i="3" s="1"/>
  <c r="S112" i="3"/>
  <c r="U112" i="3" s="1"/>
  <c r="Q31" i="3"/>
  <c r="Q14" i="3"/>
  <c r="T14" i="3" s="1"/>
  <c r="S127" i="3"/>
  <c r="U127" i="3" s="1"/>
  <c r="S81" i="3"/>
  <c r="U81" i="3" s="1"/>
  <c r="S62" i="3"/>
  <c r="U62" i="3" s="1"/>
  <c r="S48" i="3"/>
  <c r="U48" i="3" s="1"/>
  <c r="S118" i="3"/>
  <c r="U118" i="3" s="1"/>
  <c r="S90" i="3"/>
  <c r="U90" i="3" s="1"/>
  <c r="S79" i="3"/>
  <c r="U79" i="3" s="1"/>
  <c r="S70" i="3"/>
  <c r="U70" i="3" s="1"/>
  <c r="S52" i="3"/>
  <c r="M12" i="6"/>
  <c r="M2" i="6"/>
  <c r="M16" i="6"/>
  <c r="P19" i="11" s="1"/>
  <c r="M11" i="6"/>
  <c r="K17" i="11" s="1"/>
  <c r="R134" i="3"/>
  <c r="J23" i="10" s="1"/>
  <c r="Q39" i="3"/>
  <c r="Q20" i="3"/>
  <c r="T20" i="3" s="1"/>
  <c r="Q3" i="3"/>
  <c r="S3" i="3" s="1"/>
  <c r="Z11" i="10"/>
  <c r="S117" i="3"/>
  <c r="U117" i="3" s="1"/>
  <c r="S15" i="4"/>
  <c r="Q24" i="3"/>
  <c r="S24" i="3" s="1"/>
  <c r="Q7" i="3"/>
  <c r="S7" i="3" s="1"/>
  <c r="S152" i="3"/>
  <c r="U152" i="3" s="1"/>
  <c r="Z8" i="10"/>
  <c r="Z5" i="10"/>
  <c r="S125" i="3"/>
  <c r="U125" i="3" s="1"/>
  <c r="S124" i="3"/>
  <c r="U124" i="3" s="1"/>
  <c r="S98" i="3"/>
  <c r="U98" i="3" s="1"/>
  <c r="S44" i="3"/>
  <c r="U44" i="3" s="1"/>
  <c r="R18" i="4"/>
  <c r="S18" i="4" s="1"/>
  <c r="S143" i="3"/>
  <c r="U143" i="3" s="1"/>
  <c r="S123" i="3"/>
  <c r="U123" i="3" s="1"/>
  <c r="S105" i="3"/>
  <c r="U105" i="3" s="1"/>
  <c r="S75" i="3"/>
  <c r="U75" i="3" s="1"/>
  <c r="S57" i="3"/>
  <c r="U57" i="3" s="1"/>
  <c r="R3" i="4"/>
  <c r="S3" i="4" s="1"/>
  <c r="R12" i="4"/>
  <c r="S12" i="4" s="1"/>
  <c r="F8" i="6"/>
  <c r="Q27" i="3"/>
  <c r="R27" i="3" s="1"/>
  <c r="Q9" i="3"/>
  <c r="R9" i="3" s="1"/>
  <c r="I5" i="10" s="1"/>
  <c r="J20" i="8"/>
  <c r="I20" i="8"/>
  <c r="R54" i="4"/>
  <c r="R33" i="4"/>
  <c r="S33" i="4" s="1"/>
  <c r="K18" i="10"/>
  <c r="L13" i="10"/>
  <c r="R31" i="4"/>
  <c r="S31" i="4" s="1"/>
  <c r="R29" i="4"/>
  <c r="S29" i="4" s="1"/>
  <c r="R5" i="4"/>
  <c r="S5" i="4" s="1"/>
  <c r="M24" i="10"/>
  <c r="R32" i="4"/>
  <c r="S32" i="4" s="1"/>
  <c r="R28" i="4"/>
  <c r="S28" i="4" s="1"/>
  <c r="O19" i="10"/>
  <c r="G14" i="10"/>
  <c r="R35" i="4"/>
  <c r="S35" i="4"/>
  <c r="R27" i="4"/>
  <c r="S27" i="4" s="1"/>
  <c r="R7" i="4"/>
  <c r="S7" i="4" s="1"/>
  <c r="O20" i="10"/>
  <c r="N15" i="10"/>
  <c r="H12" i="10"/>
  <c r="R34" i="4"/>
  <c r="S34" i="4" s="1"/>
  <c r="R30" i="4"/>
  <c r="S30" i="4" s="1"/>
  <c r="R24" i="4"/>
  <c r="S24" i="4" s="1"/>
  <c r="R6" i="4"/>
  <c r="S6" i="4" s="1"/>
  <c r="R11" i="4"/>
  <c r="S11" i="4" s="1"/>
  <c r="O23" i="10"/>
  <c r="E15" i="10"/>
  <c r="Q12" i="10"/>
  <c r="F25" i="10"/>
  <c r="F30" i="10"/>
  <c r="H30" i="10"/>
  <c r="B13" i="10"/>
  <c r="AC5" i="10"/>
  <c r="AC8" i="10"/>
  <c r="AC7" i="10"/>
  <c r="S86" i="3"/>
  <c r="U86" i="3" s="1"/>
  <c r="S51" i="3"/>
  <c r="U51" i="3" s="1"/>
  <c r="S47" i="3"/>
  <c r="U47" i="3" s="1"/>
  <c r="Q12" i="6"/>
  <c r="L18" i="11"/>
  <c r="L17" i="11"/>
  <c r="L16" i="11"/>
  <c r="L15" i="11"/>
  <c r="L13" i="11"/>
  <c r="L5" i="11"/>
  <c r="L6" i="11"/>
  <c r="L7" i="11"/>
  <c r="L8" i="11"/>
  <c r="L10" i="11"/>
  <c r="L11" i="11"/>
  <c r="L12" i="11"/>
  <c r="L19" i="11"/>
  <c r="L4" i="11"/>
  <c r="I18" i="11"/>
  <c r="I17" i="11"/>
  <c r="Q9" i="6"/>
  <c r="I16" i="11"/>
  <c r="I15" i="11"/>
  <c r="I14" i="11"/>
  <c r="I19" i="11"/>
  <c r="I8" i="11"/>
  <c r="I10" i="11"/>
  <c r="I11" i="11"/>
  <c r="N19" i="11"/>
  <c r="Q14" i="6"/>
  <c r="N18" i="11"/>
  <c r="N17" i="11"/>
  <c r="N16" i="11"/>
  <c r="N4" i="11"/>
  <c r="N15" i="11"/>
  <c r="N14" i="11"/>
  <c r="N5" i="11"/>
  <c r="N6" i="11"/>
  <c r="N8" i="11"/>
  <c r="N9" i="11"/>
  <c r="N10" i="11"/>
  <c r="N11" i="11"/>
  <c r="N12" i="11"/>
  <c r="P18" i="11"/>
  <c r="P17" i="11"/>
  <c r="P16" i="11"/>
  <c r="P6" i="11"/>
  <c r="Q18" i="11"/>
  <c r="Q17" i="11"/>
  <c r="Q16" i="11"/>
  <c r="Q17" i="6"/>
  <c r="Q19" i="11"/>
  <c r="Q15" i="11"/>
  <c r="Q14" i="11"/>
  <c r="Q13" i="11"/>
  <c r="Q5" i="11"/>
  <c r="Q10" i="11"/>
  <c r="Q11" i="11"/>
  <c r="Q12" i="11"/>
  <c r="Q4" i="11"/>
  <c r="K19" i="11"/>
  <c r="K18" i="11"/>
  <c r="K5" i="11"/>
  <c r="K6" i="11"/>
  <c r="Q7" i="6"/>
  <c r="G19" i="11"/>
  <c r="G16" i="11"/>
  <c r="G15" i="11"/>
  <c r="G14" i="11"/>
  <c r="G13" i="11"/>
  <c r="G18" i="11"/>
  <c r="G7" i="11"/>
  <c r="G9" i="11"/>
  <c r="G11" i="11"/>
  <c r="G12" i="11"/>
  <c r="G8" i="11"/>
  <c r="N18" i="6"/>
  <c r="J12" i="10"/>
  <c r="S25" i="4"/>
  <c r="S146" i="3"/>
  <c r="U146" i="3" s="1"/>
  <c r="R150" i="3"/>
  <c r="S150" i="3"/>
  <c r="F29" i="10"/>
  <c r="U158" i="3"/>
  <c r="M30" i="10"/>
  <c r="AA7" i="10"/>
  <c r="AA8" i="10"/>
  <c r="S114" i="3"/>
  <c r="U114" i="3" s="1"/>
  <c r="S106" i="3"/>
  <c r="U106" i="3" s="1"/>
  <c r="S94" i="3"/>
  <c r="U94" i="3" s="1"/>
  <c r="B19" i="11"/>
  <c r="B18" i="11"/>
  <c r="B17" i="11"/>
  <c r="B5" i="11"/>
  <c r="B6" i="11"/>
  <c r="B7" i="11"/>
  <c r="B10" i="11"/>
  <c r="B11" i="11"/>
  <c r="B12" i="11"/>
  <c r="B16" i="11"/>
  <c r="B15" i="11"/>
  <c r="B14" i="11"/>
  <c r="B13" i="11"/>
  <c r="U73" i="3"/>
  <c r="S137" i="3"/>
  <c r="U137" i="3" s="1"/>
  <c r="S97" i="3"/>
  <c r="U97" i="3" s="1"/>
  <c r="S89" i="3"/>
  <c r="U89" i="3" s="1"/>
  <c r="S77" i="3"/>
  <c r="U77" i="3" s="1"/>
  <c r="S40" i="4"/>
  <c r="S39" i="4"/>
  <c r="S38" i="4"/>
  <c r="S36" i="4"/>
  <c r="S21" i="4"/>
  <c r="S19" i="4"/>
  <c r="S17" i="4"/>
  <c r="S16" i="4"/>
  <c r="S14" i="4"/>
  <c r="S13" i="4"/>
  <c r="F7" i="6"/>
  <c r="F4" i="6"/>
  <c r="R56" i="3"/>
  <c r="I12" i="11" s="1"/>
  <c r="S56" i="3"/>
  <c r="G25" i="10"/>
  <c r="R151" i="3"/>
  <c r="S151" i="3"/>
  <c r="I27" i="10"/>
  <c r="B30" i="10"/>
  <c r="AC6" i="10"/>
  <c r="AG5" i="10"/>
  <c r="V4" i="10"/>
  <c r="V5" i="10"/>
  <c r="F27" i="10"/>
  <c r="R153" i="3"/>
  <c r="S153" i="3"/>
  <c r="S140" i="3"/>
  <c r="U140" i="3" s="1"/>
  <c r="S132" i="3"/>
  <c r="U132" i="3" s="1"/>
  <c r="S128" i="3"/>
  <c r="U128" i="3" s="1"/>
  <c r="S80" i="3"/>
  <c r="U80" i="3" s="1"/>
  <c r="S68" i="3"/>
  <c r="U68" i="3" s="1"/>
  <c r="S60" i="3"/>
  <c r="U60" i="3" s="1"/>
  <c r="S55" i="3"/>
  <c r="U55" i="3" s="1"/>
  <c r="F9" i="6"/>
  <c r="S145" i="3"/>
  <c r="U145" i="3" s="1"/>
  <c r="S149" i="3"/>
  <c r="U149" i="3" s="1"/>
  <c r="N30" i="10"/>
  <c r="AF6" i="10"/>
  <c r="AF5" i="10"/>
  <c r="AB8" i="10"/>
  <c r="AB7" i="10"/>
  <c r="AB6" i="10"/>
  <c r="M3" i="6"/>
  <c r="M15" i="6"/>
  <c r="M8" i="6"/>
  <c r="M13" i="6"/>
  <c r="M4" i="6"/>
  <c r="M10" i="6"/>
  <c r="M6" i="6"/>
  <c r="M5" i="6"/>
  <c r="F3" i="6"/>
  <c r="Z6" i="10"/>
  <c r="Z10" i="10"/>
  <c r="AD6" i="10"/>
  <c r="Q10" i="6"/>
  <c r="Q2" i="6"/>
  <c r="S10" i="6"/>
  <c r="N23" i="11"/>
  <c r="S9" i="6"/>
  <c r="F32" i="10"/>
  <c r="S7" i="6"/>
  <c r="Q8" i="6"/>
  <c r="R5" i="6"/>
  <c r="S5" i="6"/>
  <c r="R51" i="4"/>
  <c r="Z25" i="5" l="1"/>
  <c r="K24" i="5"/>
  <c r="AC17" i="5"/>
  <c r="Q25" i="5"/>
  <c r="AF17" i="5"/>
  <c r="Z18" i="5"/>
  <c r="AF24" i="5"/>
  <c r="K18" i="5"/>
  <c r="S14" i="6"/>
  <c r="N17" i="5"/>
  <c r="N24" i="11"/>
  <c r="N26" i="11"/>
  <c r="T25" i="5"/>
  <c r="W25" i="5"/>
  <c r="W18" i="5"/>
  <c r="N24" i="5"/>
  <c r="T14" i="5"/>
  <c r="AC24" i="5"/>
  <c r="Q18" i="5"/>
  <c r="L14" i="11"/>
  <c r="U74" i="3"/>
  <c r="U83" i="3"/>
  <c r="U147" i="3"/>
  <c r="B8" i="11"/>
  <c r="S28" i="3"/>
  <c r="U28" i="3" s="1"/>
  <c r="T28" i="3"/>
  <c r="S22" i="3"/>
  <c r="R2" i="3"/>
  <c r="U2" i="3" s="1"/>
  <c r="S34" i="3"/>
  <c r="U34" i="3" s="1"/>
  <c r="R22" i="3"/>
  <c r="C7" i="11" s="1"/>
  <c r="T21" i="3"/>
  <c r="R21" i="3"/>
  <c r="L8" i="6" s="1"/>
  <c r="S11" i="3"/>
  <c r="U11" i="3" s="1"/>
  <c r="S15" i="3"/>
  <c r="U15" i="3" s="1"/>
  <c r="R36" i="3"/>
  <c r="D9" i="10" s="1"/>
  <c r="U142" i="3"/>
  <c r="R3" i="3"/>
  <c r="L7" i="6" s="1"/>
  <c r="R29" i="3"/>
  <c r="O8" i="10" s="1"/>
  <c r="T25" i="3"/>
  <c r="S25" i="3"/>
  <c r="U25" i="3" s="1"/>
  <c r="R37" i="3"/>
  <c r="P7" i="11"/>
  <c r="U100" i="3"/>
  <c r="I5" i="11"/>
  <c r="Y5" i="11" s="1"/>
  <c r="S33" i="3"/>
  <c r="U33" i="3" s="1"/>
  <c r="S9" i="3"/>
  <c r="U9" i="3" s="1"/>
  <c r="U76" i="3"/>
  <c r="R42" i="3"/>
  <c r="L13" i="6" s="1"/>
  <c r="O13" i="6" s="1"/>
  <c r="T13" i="3"/>
  <c r="R19" i="3"/>
  <c r="N7" i="10" s="1"/>
  <c r="AD17" i="10" s="1"/>
  <c r="R30" i="3"/>
  <c r="C8" i="10" s="1"/>
  <c r="S42" i="3"/>
  <c r="R24" i="3"/>
  <c r="D7" i="10" s="1"/>
  <c r="AA27" i="10"/>
  <c r="AA17" i="10"/>
  <c r="AA23" i="10"/>
  <c r="U116" i="3"/>
  <c r="R41" i="3"/>
  <c r="B9" i="11" s="1"/>
  <c r="R4" i="3"/>
  <c r="U4" i="3" s="1"/>
  <c r="L11" i="6"/>
  <c r="P11" i="6" s="1"/>
  <c r="S17" i="3"/>
  <c r="U17" i="3" s="1"/>
  <c r="R16" i="3"/>
  <c r="I6" i="11" s="1"/>
  <c r="S18" i="3"/>
  <c r="S38" i="3"/>
  <c r="U38" i="3" s="1"/>
  <c r="U148" i="3"/>
  <c r="AA16" i="10"/>
  <c r="AA13" i="10"/>
  <c r="S12" i="3"/>
  <c r="U12" i="3" s="1"/>
  <c r="AA10" i="10"/>
  <c r="AA26" i="10"/>
  <c r="AA15" i="10"/>
  <c r="S23" i="3"/>
  <c r="U23" i="3" s="1"/>
  <c r="AA22" i="10"/>
  <c r="G17" i="11"/>
  <c r="AA18" i="10"/>
  <c r="K33" i="10"/>
  <c r="AA29" i="10"/>
  <c r="AA31" i="10"/>
  <c r="AA25" i="10"/>
  <c r="G5" i="10"/>
  <c r="G5" i="11"/>
  <c r="I4" i="10"/>
  <c r="Y5" i="10" s="1"/>
  <c r="I13" i="11"/>
  <c r="S5" i="3"/>
  <c r="U5" i="3" s="1"/>
  <c r="S8" i="3"/>
  <c r="U8" i="3" s="1"/>
  <c r="T32" i="3"/>
  <c r="S6" i="3"/>
  <c r="U6" i="3" s="1"/>
  <c r="D30" i="10"/>
  <c r="R13" i="3"/>
  <c r="E6" i="10" s="1"/>
  <c r="U61" i="3"/>
  <c r="T8" i="3"/>
  <c r="R32" i="3"/>
  <c r="Q8" i="10" s="1"/>
  <c r="R20" i="3"/>
  <c r="O7" i="10" s="1"/>
  <c r="I7" i="11"/>
  <c r="U53" i="3"/>
  <c r="U136" i="3"/>
  <c r="S10" i="3"/>
  <c r="U10" i="3" s="1"/>
  <c r="T19" i="3"/>
  <c r="S40" i="3"/>
  <c r="U40" i="3" s="1"/>
  <c r="I9" i="10"/>
  <c r="I9" i="11"/>
  <c r="S14" i="3"/>
  <c r="S20" i="3"/>
  <c r="U87" i="3"/>
  <c r="R7" i="3"/>
  <c r="B4" i="11" s="1"/>
  <c r="R4" i="11" s="1"/>
  <c r="U67" i="3"/>
  <c r="N13" i="11"/>
  <c r="Q7" i="11"/>
  <c r="U69" i="3"/>
  <c r="G6" i="10"/>
  <c r="G6" i="11"/>
  <c r="P25" i="10"/>
  <c r="U144" i="3"/>
  <c r="U104" i="3"/>
  <c r="N27" i="11"/>
  <c r="AG6" i="10"/>
  <c r="AG7" i="10"/>
  <c r="L9" i="11"/>
  <c r="AB19" i="11" s="1"/>
  <c r="R31" i="3"/>
  <c r="L16" i="6" s="1"/>
  <c r="S31" i="3"/>
  <c r="R14" i="3"/>
  <c r="L6" i="6" s="1"/>
  <c r="K11" i="11"/>
  <c r="K14" i="11"/>
  <c r="P4" i="11"/>
  <c r="AF4" i="11" s="1"/>
  <c r="P5" i="11"/>
  <c r="Q16" i="6"/>
  <c r="S26" i="3"/>
  <c r="U26" i="3" s="1"/>
  <c r="R35" i="3"/>
  <c r="S35" i="3"/>
  <c r="L12" i="6"/>
  <c r="P12" i="6" s="1"/>
  <c r="K10" i="11"/>
  <c r="K15" i="11"/>
  <c r="P12" i="11"/>
  <c r="P13" i="11"/>
  <c r="H6" i="10"/>
  <c r="U134" i="3"/>
  <c r="K13" i="11"/>
  <c r="Q11" i="6"/>
  <c r="K22" i="11" s="1"/>
  <c r="L9" i="10"/>
  <c r="AB30" i="10" s="1"/>
  <c r="K9" i="11"/>
  <c r="K16" i="11"/>
  <c r="P11" i="11"/>
  <c r="P14" i="11"/>
  <c r="T27" i="3"/>
  <c r="S27" i="3"/>
  <c r="U27" i="3" s="1"/>
  <c r="U52" i="3"/>
  <c r="T52" i="3"/>
  <c r="E8" i="10"/>
  <c r="K8" i="11"/>
  <c r="K4" i="11"/>
  <c r="AA4" i="11" s="1"/>
  <c r="P10" i="11"/>
  <c r="P15" i="11"/>
  <c r="L10" i="6"/>
  <c r="P10" i="6" s="1"/>
  <c r="Q6" i="11"/>
  <c r="K12" i="11"/>
  <c r="K7" i="11"/>
  <c r="P9" i="11"/>
  <c r="C6" i="6"/>
  <c r="G6" i="6" s="1"/>
  <c r="R39" i="3"/>
  <c r="S39" i="3"/>
  <c r="Q4" i="6"/>
  <c r="D19" i="11"/>
  <c r="D18" i="11"/>
  <c r="D17" i="11"/>
  <c r="D16" i="11"/>
  <c r="D15" i="11"/>
  <c r="D14" i="11"/>
  <c r="D13" i="11"/>
  <c r="D5" i="11"/>
  <c r="D6" i="11"/>
  <c r="D8" i="11"/>
  <c r="D10" i="11"/>
  <c r="D11" i="11"/>
  <c r="D12" i="11"/>
  <c r="Q3" i="6"/>
  <c r="C19" i="11"/>
  <c r="C18" i="11"/>
  <c r="C17" i="11"/>
  <c r="C4" i="11"/>
  <c r="C16" i="11"/>
  <c r="C15" i="11"/>
  <c r="C14" i="11"/>
  <c r="C13" i="11"/>
  <c r="C5" i="11"/>
  <c r="C6" i="11"/>
  <c r="C9" i="11"/>
  <c r="C10" i="11"/>
  <c r="C11" i="11"/>
  <c r="C12" i="11"/>
  <c r="P27" i="10"/>
  <c r="U150" i="3"/>
  <c r="R7" i="6"/>
  <c r="G22" i="11"/>
  <c r="G21" i="11"/>
  <c r="G20" i="11"/>
  <c r="AA28" i="10"/>
  <c r="AA9" i="10"/>
  <c r="AA24" i="10"/>
  <c r="AA14" i="10"/>
  <c r="AA20" i="10"/>
  <c r="R8" i="6"/>
  <c r="H22" i="11"/>
  <c r="H21" i="11"/>
  <c r="H20" i="11"/>
  <c r="I31" i="11"/>
  <c r="I30" i="11"/>
  <c r="I29" i="11"/>
  <c r="I28" i="11"/>
  <c r="B22" i="11"/>
  <c r="B21" i="11"/>
  <c r="R2" i="6"/>
  <c r="B20" i="11"/>
  <c r="Q5" i="6"/>
  <c r="E18" i="11"/>
  <c r="E17" i="11"/>
  <c r="E19" i="11"/>
  <c r="E16" i="11"/>
  <c r="E15" i="11"/>
  <c r="E14" i="11"/>
  <c r="E13" i="11"/>
  <c r="E5" i="11"/>
  <c r="E7" i="11"/>
  <c r="E8" i="11"/>
  <c r="E9" i="11"/>
  <c r="E10" i="11"/>
  <c r="E11" i="11"/>
  <c r="E12" i="11"/>
  <c r="Q13" i="6"/>
  <c r="M18" i="11"/>
  <c r="M17" i="11"/>
  <c r="M19" i="11"/>
  <c r="M15" i="11"/>
  <c r="M14" i="11"/>
  <c r="M13" i="11"/>
  <c r="M16" i="11"/>
  <c r="M5" i="11"/>
  <c r="M6" i="11"/>
  <c r="M7" i="11"/>
  <c r="M8" i="11"/>
  <c r="M10" i="11"/>
  <c r="M11" i="11"/>
  <c r="M12" i="11"/>
  <c r="M4" i="11"/>
  <c r="AA21" i="10"/>
  <c r="AA30" i="10"/>
  <c r="AA12" i="10"/>
  <c r="AA19" i="10"/>
  <c r="AA11" i="10"/>
  <c r="C9" i="10"/>
  <c r="U37" i="3"/>
  <c r="K20" i="11"/>
  <c r="Y4" i="11"/>
  <c r="E27" i="11"/>
  <c r="E26" i="11"/>
  <c r="E25" i="11"/>
  <c r="E24" i="11"/>
  <c r="E23" i="11"/>
  <c r="Z12" i="10"/>
  <c r="Z18" i="10"/>
  <c r="Z22" i="10"/>
  <c r="Z26" i="10"/>
  <c r="Z30" i="10"/>
  <c r="Z16" i="10"/>
  <c r="Z17" i="10"/>
  <c r="Z21" i="10"/>
  <c r="Z25" i="10"/>
  <c r="Z29" i="10"/>
  <c r="Z15" i="10"/>
  <c r="Z20" i="10"/>
  <c r="Z24" i="10"/>
  <c r="Z28" i="10"/>
  <c r="Z27" i="10"/>
  <c r="Z23" i="10"/>
  <c r="J33" i="10"/>
  <c r="Z19" i="10"/>
  <c r="Z13" i="10"/>
  <c r="Z31" i="10"/>
  <c r="G31" i="11"/>
  <c r="G30" i="11"/>
  <c r="G29" i="11"/>
  <c r="G28" i="11"/>
  <c r="N30" i="11"/>
  <c r="N29" i="11"/>
  <c r="N28" i="11"/>
  <c r="N31" i="11"/>
  <c r="R10" i="6"/>
  <c r="J21" i="11"/>
  <c r="J22" i="11"/>
  <c r="J20" i="11"/>
  <c r="Z14" i="10"/>
  <c r="Q6" i="6"/>
  <c r="F18" i="11"/>
  <c r="F17" i="11"/>
  <c r="F4" i="11"/>
  <c r="F16" i="11"/>
  <c r="F15" i="11"/>
  <c r="F14" i="11"/>
  <c r="F13" i="11"/>
  <c r="F5" i="11"/>
  <c r="F7" i="11"/>
  <c r="F8" i="11"/>
  <c r="F9" i="11"/>
  <c r="F10" i="11"/>
  <c r="F11" i="11"/>
  <c r="F12" i="11"/>
  <c r="F19" i="11"/>
  <c r="H19" i="11"/>
  <c r="H18" i="11"/>
  <c r="H17" i="11"/>
  <c r="H16" i="11"/>
  <c r="H15" i="11"/>
  <c r="H14" i="11"/>
  <c r="H13" i="11"/>
  <c r="H5" i="11"/>
  <c r="H6" i="11"/>
  <c r="H8" i="11"/>
  <c r="H9" i="11"/>
  <c r="H10" i="11"/>
  <c r="H11" i="11"/>
  <c r="H12" i="11"/>
  <c r="H4" i="11"/>
  <c r="X5" i="10"/>
  <c r="X4" i="10"/>
  <c r="AG5" i="11"/>
  <c r="AG4" i="11"/>
  <c r="AB8" i="11"/>
  <c r="AB7" i="11"/>
  <c r="AB6" i="11"/>
  <c r="AB5" i="11"/>
  <c r="AB4" i="11"/>
  <c r="L22" i="11"/>
  <c r="R12" i="6"/>
  <c r="L20" i="11"/>
  <c r="L21" i="11"/>
  <c r="J31" i="11"/>
  <c r="J30" i="11"/>
  <c r="J29" i="11"/>
  <c r="J28" i="11"/>
  <c r="E30" i="11"/>
  <c r="E29" i="11"/>
  <c r="E28" i="11"/>
  <c r="E31" i="11"/>
  <c r="J19" i="11"/>
  <c r="J18" i="11"/>
  <c r="J17" i="11"/>
  <c r="J4" i="11"/>
  <c r="J5" i="11"/>
  <c r="J6" i="11"/>
  <c r="J7" i="11"/>
  <c r="J8" i="11"/>
  <c r="J9" i="11"/>
  <c r="J10" i="11"/>
  <c r="J11" i="11"/>
  <c r="J12" i="11"/>
  <c r="J16" i="11"/>
  <c r="J15" i="11"/>
  <c r="J14" i="11"/>
  <c r="J13" i="11"/>
  <c r="Q15" i="6"/>
  <c r="O4" i="11"/>
  <c r="O19" i="11"/>
  <c r="O15" i="11"/>
  <c r="O14" i="11"/>
  <c r="O13" i="11"/>
  <c r="O18" i="11"/>
  <c r="O16" i="11"/>
  <c r="O17" i="11"/>
  <c r="O6" i="11"/>
  <c r="O10" i="11"/>
  <c r="O12" i="11"/>
  <c r="O5" i="11"/>
  <c r="O11" i="11"/>
  <c r="N27" i="10"/>
  <c r="U153" i="3"/>
  <c r="U151" i="3"/>
  <c r="C27" i="10"/>
  <c r="I12" i="10"/>
  <c r="U56" i="3"/>
  <c r="F7" i="10"/>
  <c r="R17" i="6"/>
  <c r="Q22" i="11"/>
  <c r="Q21" i="11"/>
  <c r="Q20" i="11"/>
  <c r="R16" i="6"/>
  <c r="P21" i="11"/>
  <c r="P20" i="11"/>
  <c r="P22" i="11"/>
  <c r="AD6" i="11"/>
  <c r="AD5" i="11"/>
  <c r="AD4" i="11"/>
  <c r="N21" i="11"/>
  <c r="N22" i="11"/>
  <c r="N20" i="11"/>
  <c r="R9" i="6"/>
  <c r="I21" i="11"/>
  <c r="I22" i="11"/>
  <c r="I20" i="11"/>
  <c r="AE6" i="10"/>
  <c r="AC25" i="5" l="1"/>
  <c r="K17" i="5"/>
  <c r="T13" i="5"/>
  <c r="AF25" i="5"/>
  <c r="AC16" i="5"/>
  <c r="N25" i="5"/>
  <c r="Z17" i="5"/>
  <c r="K25" i="5"/>
  <c r="Q17" i="5"/>
  <c r="W17" i="5"/>
  <c r="N16" i="5"/>
  <c r="AF16" i="5"/>
  <c r="AD12" i="10"/>
  <c r="AD28" i="10"/>
  <c r="AD21" i="10"/>
  <c r="AD15" i="10"/>
  <c r="AD11" i="10"/>
  <c r="Q8" i="11"/>
  <c r="U36" i="3"/>
  <c r="D9" i="11"/>
  <c r="C8" i="11"/>
  <c r="S15" i="11" s="1"/>
  <c r="O11" i="6"/>
  <c r="D4" i="11"/>
  <c r="T5" i="11" s="1"/>
  <c r="D4" i="10"/>
  <c r="T6" i="10" s="1"/>
  <c r="U32" i="3"/>
  <c r="O7" i="11"/>
  <c r="G4" i="10"/>
  <c r="W14" i="10" s="1"/>
  <c r="G4" i="11"/>
  <c r="W8" i="11" s="1"/>
  <c r="U22" i="3"/>
  <c r="C7" i="10"/>
  <c r="S19" i="10" s="1"/>
  <c r="I6" i="10"/>
  <c r="Y16" i="10" s="1"/>
  <c r="U3" i="3"/>
  <c r="U29" i="3"/>
  <c r="H7" i="11"/>
  <c r="X16" i="11" s="1"/>
  <c r="AB12" i="11"/>
  <c r="M9" i="11"/>
  <c r="AC17" i="11" s="1"/>
  <c r="P8" i="6"/>
  <c r="O8" i="6"/>
  <c r="P13" i="6"/>
  <c r="M9" i="10"/>
  <c r="M33" i="10" s="1"/>
  <c r="C7" i="6"/>
  <c r="G7" i="6" s="1"/>
  <c r="U21" i="3"/>
  <c r="H7" i="10"/>
  <c r="X22" i="10" s="1"/>
  <c r="AB13" i="11"/>
  <c r="AB14" i="11"/>
  <c r="AB15" i="11"/>
  <c r="AB16" i="11"/>
  <c r="AB9" i="11"/>
  <c r="AB17" i="11"/>
  <c r="AB10" i="11"/>
  <c r="AB18" i="11"/>
  <c r="AB11" i="11"/>
  <c r="L3" i="6"/>
  <c r="P3" i="6" s="1"/>
  <c r="AB25" i="10"/>
  <c r="E4" i="10"/>
  <c r="U5" i="10" s="1"/>
  <c r="U30" i="3"/>
  <c r="AB17" i="10"/>
  <c r="E4" i="11"/>
  <c r="Y8" i="11"/>
  <c r="Y6" i="11"/>
  <c r="Y16" i="11"/>
  <c r="U42" i="3"/>
  <c r="O8" i="11"/>
  <c r="L15" i="6"/>
  <c r="O15" i="6" s="1"/>
  <c r="O10" i="6"/>
  <c r="C5" i="6"/>
  <c r="G5" i="6" s="1"/>
  <c r="O9" i="11"/>
  <c r="L9" i="6"/>
  <c r="O9" i="6" s="1"/>
  <c r="AF7" i="11"/>
  <c r="U16" i="3"/>
  <c r="U20" i="3"/>
  <c r="R12" i="11"/>
  <c r="L14" i="6"/>
  <c r="O14" i="6" s="1"/>
  <c r="AD10" i="10"/>
  <c r="AD24" i="10"/>
  <c r="AD9" i="10"/>
  <c r="Y4" i="10"/>
  <c r="AD20" i="10"/>
  <c r="AD26" i="10"/>
  <c r="AD19" i="10"/>
  <c r="AD13" i="10"/>
  <c r="AD22" i="10"/>
  <c r="E6" i="11"/>
  <c r="AD14" i="10"/>
  <c r="AD23" i="10"/>
  <c r="AD8" i="10"/>
  <c r="AD18" i="10"/>
  <c r="U41" i="3"/>
  <c r="R19" i="11"/>
  <c r="AD27" i="10"/>
  <c r="AD25" i="10"/>
  <c r="AD16" i="10"/>
  <c r="AD30" i="10"/>
  <c r="X6" i="10"/>
  <c r="B9" i="10"/>
  <c r="U19" i="3"/>
  <c r="L5" i="6"/>
  <c r="N7" i="11"/>
  <c r="AD11" i="11" s="1"/>
  <c r="AD7" i="10"/>
  <c r="L17" i="6"/>
  <c r="O17" i="6" s="1"/>
  <c r="L4" i="6"/>
  <c r="O4" i="6" s="1"/>
  <c r="D7" i="11"/>
  <c r="U24" i="3"/>
  <c r="U13" i="3"/>
  <c r="R5" i="11"/>
  <c r="R13" i="11"/>
  <c r="R6" i="11"/>
  <c r="R14" i="11"/>
  <c r="R7" i="11"/>
  <c r="R15" i="11"/>
  <c r="H6" i="6"/>
  <c r="AF5" i="11"/>
  <c r="U7" i="3"/>
  <c r="R8" i="11"/>
  <c r="R16" i="11"/>
  <c r="L2" i="6"/>
  <c r="O2" i="6" s="1"/>
  <c r="R9" i="11"/>
  <c r="R17" i="11"/>
  <c r="AF6" i="11"/>
  <c r="B4" i="10"/>
  <c r="R8" i="10" s="1"/>
  <c r="R10" i="11"/>
  <c r="R18" i="11"/>
  <c r="C2" i="6"/>
  <c r="H2" i="6" s="1"/>
  <c r="R11" i="11"/>
  <c r="Y15" i="11"/>
  <c r="O12" i="6"/>
  <c r="AB15" i="10"/>
  <c r="Y9" i="11"/>
  <c r="Y17" i="11"/>
  <c r="U14" i="3"/>
  <c r="Y10" i="11"/>
  <c r="Y18" i="11"/>
  <c r="C3" i="6"/>
  <c r="AB29" i="10"/>
  <c r="Y19" i="11"/>
  <c r="Y11" i="11"/>
  <c r="AB9" i="10"/>
  <c r="Y12" i="11"/>
  <c r="AB28" i="10"/>
  <c r="Y13" i="11"/>
  <c r="AB23" i="10"/>
  <c r="AB21" i="10"/>
  <c r="Y14" i="11"/>
  <c r="AB11" i="10"/>
  <c r="AB10" i="10"/>
  <c r="Y7" i="11"/>
  <c r="C4" i="6"/>
  <c r="G4" i="6" s="1"/>
  <c r="AB21" i="11"/>
  <c r="AE8" i="10"/>
  <c r="U9" i="10"/>
  <c r="Y10" i="10"/>
  <c r="AA10" i="11"/>
  <c r="AA5" i="11"/>
  <c r="K21" i="11"/>
  <c r="AA22" i="11" s="1"/>
  <c r="F6" i="11"/>
  <c r="V10" i="11" s="1"/>
  <c r="U39" i="3"/>
  <c r="O9" i="10"/>
  <c r="AE15" i="10" s="1"/>
  <c r="Y31" i="10"/>
  <c r="R11" i="6"/>
  <c r="AA9" i="11"/>
  <c r="AA8" i="11"/>
  <c r="AA14" i="11"/>
  <c r="AA6" i="11"/>
  <c r="AG6" i="11"/>
  <c r="AA16" i="11"/>
  <c r="AA13" i="11"/>
  <c r="P8" i="11"/>
  <c r="AF22" i="11" s="1"/>
  <c r="U31" i="3"/>
  <c r="C9" i="6"/>
  <c r="P8" i="10"/>
  <c r="AF31" i="10" s="1"/>
  <c r="Q9" i="11"/>
  <c r="AG11" i="11" s="1"/>
  <c r="Q9" i="10"/>
  <c r="AG31" i="10" s="1"/>
  <c r="U35" i="3"/>
  <c r="AG7" i="11"/>
  <c r="AA12" i="11"/>
  <c r="AA17" i="11"/>
  <c r="F6" i="10"/>
  <c r="V27" i="10" s="1"/>
  <c r="AA18" i="11"/>
  <c r="AA7" i="11"/>
  <c r="AA11" i="11"/>
  <c r="AA19" i="11"/>
  <c r="C8" i="6"/>
  <c r="H8" i="6" s="1"/>
  <c r="AA15" i="11"/>
  <c r="L33" i="10"/>
  <c r="AB16" i="10"/>
  <c r="AB31" i="10"/>
  <c r="AB14" i="10"/>
  <c r="AB20" i="10"/>
  <c r="AB12" i="10"/>
  <c r="AB18" i="10"/>
  <c r="AB24" i="10"/>
  <c r="AB22" i="10"/>
  <c r="AB13" i="10"/>
  <c r="AB26" i="10"/>
  <c r="AB19" i="10"/>
  <c r="AB27" i="10"/>
  <c r="S12" i="6"/>
  <c r="L27" i="11"/>
  <c r="L26" i="11"/>
  <c r="L25" i="11"/>
  <c r="L24" i="11"/>
  <c r="L23" i="11"/>
  <c r="O6" i="6"/>
  <c r="P6" i="6"/>
  <c r="Y22" i="10"/>
  <c r="Y27" i="10"/>
  <c r="I27" i="11"/>
  <c r="I26" i="11"/>
  <c r="I25" i="11"/>
  <c r="I24" i="11"/>
  <c r="I23" i="11"/>
  <c r="Y23" i="11" s="1"/>
  <c r="S16" i="6"/>
  <c r="P27" i="11"/>
  <c r="P23" i="11"/>
  <c r="P26" i="11"/>
  <c r="P24" i="11"/>
  <c r="P25" i="11"/>
  <c r="AD29" i="10"/>
  <c r="N33" i="10"/>
  <c r="R15" i="6"/>
  <c r="O22" i="11"/>
  <c r="O21" i="11"/>
  <c r="O20" i="11"/>
  <c r="R20" i="11"/>
  <c r="AB22" i="11"/>
  <c r="P7" i="6"/>
  <c r="O7" i="6"/>
  <c r="AG8" i="10"/>
  <c r="S2" i="6"/>
  <c r="B27" i="11"/>
  <c r="B26" i="11"/>
  <c r="B25" i="11"/>
  <c r="B24" i="11"/>
  <c r="B23" i="11"/>
  <c r="S18" i="11"/>
  <c r="S17" i="11"/>
  <c r="S16" i="11"/>
  <c r="S11" i="11"/>
  <c r="S10" i="11"/>
  <c r="S9" i="11"/>
  <c r="S8" i="11"/>
  <c r="S7" i="11"/>
  <c r="S6" i="11"/>
  <c r="S5" i="11"/>
  <c r="S4" i="11"/>
  <c r="S19" i="11"/>
  <c r="R3" i="6"/>
  <c r="C22" i="11"/>
  <c r="C21" i="11"/>
  <c r="C20" i="11"/>
  <c r="S17" i="6"/>
  <c r="Q27" i="11"/>
  <c r="Q26" i="11"/>
  <c r="Q25" i="11"/>
  <c r="Q24" i="11"/>
  <c r="Q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R21" i="11"/>
  <c r="O16" i="6"/>
  <c r="P16" i="6"/>
  <c r="AG8" i="11"/>
  <c r="X6" i="11"/>
  <c r="X5" i="11"/>
  <c r="X4" i="11"/>
  <c r="F21" i="11"/>
  <c r="R6" i="6"/>
  <c r="F22" i="11"/>
  <c r="F20" i="11"/>
  <c r="Y20" i="11"/>
  <c r="AC8" i="11"/>
  <c r="AC4" i="11"/>
  <c r="AC7" i="11"/>
  <c r="AC6" i="11"/>
  <c r="AC5" i="11"/>
  <c r="R13" i="6"/>
  <c r="M21" i="11"/>
  <c r="M20" i="11"/>
  <c r="M22" i="11"/>
  <c r="G26" i="11"/>
  <c r="G25" i="11"/>
  <c r="G24" i="11"/>
  <c r="G23" i="11"/>
  <c r="G27" i="11"/>
  <c r="AE7" i="10"/>
  <c r="R4" i="6"/>
  <c r="D20" i="11"/>
  <c r="D22" i="11"/>
  <c r="D21" i="11"/>
  <c r="AE6" i="11"/>
  <c r="AE5" i="11"/>
  <c r="AE4" i="11"/>
  <c r="Y18" i="10"/>
  <c r="Y12" i="10"/>
  <c r="AD31" i="10"/>
  <c r="R22" i="11"/>
  <c r="AB20" i="11"/>
  <c r="V5" i="11"/>
  <c r="V4" i="11"/>
  <c r="J26" i="11"/>
  <c r="J25" i="11"/>
  <c r="J24" i="11"/>
  <c r="J23" i="11"/>
  <c r="J27" i="11"/>
  <c r="Y21" i="11"/>
  <c r="Y22" i="11"/>
  <c r="S11" i="6"/>
  <c r="K23" i="11"/>
  <c r="K27" i="11"/>
  <c r="K26" i="11"/>
  <c r="K25" i="11"/>
  <c r="K24" i="11"/>
  <c r="AA20" i="11"/>
  <c r="E22" i="11"/>
  <c r="E21" i="11"/>
  <c r="E20" i="11"/>
  <c r="S8" i="6"/>
  <c r="H27" i="11"/>
  <c r="H23" i="11"/>
  <c r="H25" i="11"/>
  <c r="H26" i="11"/>
  <c r="H24" i="11"/>
  <c r="Y21" i="10" l="1"/>
  <c r="T6" i="11"/>
  <c r="S12" i="11"/>
  <c r="S13" i="11"/>
  <c r="S14" i="11"/>
  <c r="U17" i="10"/>
  <c r="Y24" i="10"/>
  <c r="Y19" i="10"/>
  <c r="Y15" i="10"/>
  <c r="Y8" i="10"/>
  <c r="U23" i="10"/>
  <c r="Y29" i="10"/>
  <c r="Y20" i="10"/>
  <c r="Y7" i="10"/>
  <c r="U24" i="10"/>
  <c r="U22" i="10"/>
  <c r="Y13" i="10"/>
  <c r="U18" i="10"/>
  <c r="U6" i="10"/>
  <c r="U19" i="10"/>
  <c r="N15" i="5"/>
  <c r="Z16" i="5"/>
  <c r="T12" i="5"/>
  <c r="W16" i="5"/>
  <c r="K16" i="5"/>
  <c r="Q16" i="5"/>
  <c r="AC15" i="5"/>
  <c r="AF15" i="5"/>
  <c r="Y28" i="10"/>
  <c r="I33" i="10"/>
  <c r="Y14" i="10"/>
  <c r="Y9" i="10"/>
  <c r="U15" i="10"/>
  <c r="U30" i="10"/>
  <c r="Y23" i="10"/>
  <c r="T4" i="11"/>
  <c r="Y26" i="10"/>
  <c r="Y30" i="10"/>
  <c r="U26" i="10"/>
  <c r="Y11" i="10"/>
  <c r="U16" i="10"/>
  <c r="Y17" i="10"/>
  <c r="Y25" i="10"/>
  <c r="Y6" i="10"/>
  <c r="U13" i="10"/>
  <c r="U8" i="10"/>
  <c r="U29" i="10"/>
  <c r="T22" i="10"/>
  <c r="AC12" i="10"/>
  <c r="AC25" i="10"/>
  <c r="AC20" i="10"/>
  <c r="AD22" i="11"/>
  <c r="AC16" i="11"/>
  <c r="W11" i="11"/>
  <c r="W5" i="11"/>
  <c r="AC19" i="11"/>
  <c r="AC10" i="11"/>
  <c r="W13" i="11"/>
  <c r="W7" i="11"/>
  <c r="AC11" i="11"/>
  <c r="W28" i="10"/>
  <c r="W14" i="11"/>
  <c r="W19" i="11"/>
  <c r="P9" i="6"/>
  <c r="AC12" i="11"/>
  <c r="W12" i="10"/>
  <c r="W16" i="11"/>
  <c r="W20" i="11"/>
  <c r="W12" i="11"/>
  <c r="AC13" i="11"/>
  <c r="W31" i="10"/>
  <c r="W17" i="11"/>
  <c r="W21" i="11"/>
  <c r="AC14" i="11"/>
  <c r="W7" i="10"/>
  <c r="W9" i="11"/>
  <c r="W18" i="11"/>
  <c r="W22" i="11"/>
  <c r="AC18" i="11"/>
  <c r="W6" i="11"/>
  <c r="AC15" i="11"/>
  <c r="W10" i="11"/>
  <c r="W4" i="11"/>
  <c r="AC14" i="10"/>
  <c r="T20" i="10"/>
  <c r="AC21" i="10"/>
  <c r="T7" i="10"/>
  <c r="T10" i="10"/>
  <c r="AC27" i="10"/>
  <c r="T9" i="10"/>
  <c r="T12" i="10"/>
  <c r="AC29" i="10"/>
  <c r="T29" i="10"/>
  <c r="T24" i="10"/>
  <c r="T11" i="10"/>
  <c r="AC15" i="10"/>
  <c r="T19" i="10"/>
  <c r="AC19" i="10"/>
  <c r="T26" i="10"/>
  <c r="AE8" i="11"/>
  <c r="T27" i="10"/>
  <c r="N34" i="11"/>
  <c r="AC13" i="10"/>
  <c r="AC30" i="10"/>
  <c r="AC10" i="10"/>
  <c r="T14" i="10"/>
  <c r="T23" i="10"/>
  <c r="T4" i="10"/>
  <c r="AC31" i="10"/>
  <c r="AE7" i="11"/>
  <c r="T18" i="10"/>
  <c r="AC18" i="10"/>
  <c r="AC22" i="10"/>
  <c r="T15" i="10"/>
  <c r="T31" i="10"/>
  <c r="T16" i="10"/>
  <c r="T16" i="11"/>
  <c r="T21" i="10"/>
  <c r="P15" i="6"/>
  <c r="AC23" i="10"/>
  <c r="AC28" i="10"/>
  <c r="T8" i="10"/>
  <c r="T30" i="10"/>
  <c r="AD25" i="11"/>
  <c r="T13" i="10"/>
  <c r="AC16" i="10"/>
  <c r="AC9" i="10"/>
  <c r="AC17" i="10"/>
  <c r="T25" i="10"/>
  <c r="T5" i="10"/>
  <c r="AD23" i="11"/>
  <c r="AC26" i="10"/>
  <c r="AC11" i="10"/>
  <c r="AC24" i="10"/>
  <c r="T17" i="10"/>
  <c r="T28" i="10"/>
  <c r="D33" i="10"/>
  <c r="W16" i="10"/>
  <c r="W25" i="10"/>
  <c r="W18" i="10"/>
  <c r="W9" i="10"/>
  <c r="W20" i="10"/>
  <c r="W21" i="10"/>
  <c r="W13" i="10"/>
  <c r="W15" i="10"/>
  <c r="W10" i="10"/>
  <c r="W17" i="10"/>
  <c r="W8" i="10"/>
  <c r="W11" i="10"/>
  <c r="W24" i="10"/>
  <c r="W6" i="10"/>
  <c r="W27" i="10"/>
  <c r="G33" i="10"/>
  <c r="W5" i="10"/>
  <c r="W30" i="10"/>
  <c r="W23" i="10"/>
  <c r="W4" i="10"/>
  <c r="W26" i="10"/>
  <c r="W19" i="10"/>
  <c r="W29" i="10"/>
  <c r="W22" i="10"/>
  <c r="H33" i="10"/>
  <c r="U20" i="10"/>
  <c r="O3" i="6"/>
  <c r="U28" i="10"/>
  <c r="S20" i="10"/>
  <c r="S22" i="10"/>
  <c r="S16" i="10"/>
  <c r="S18" i="10"/>
  <c r="R7" i="10"/>
  <c r="S25" i="10"/>
  <c r="S14" i="10"/>
  <c r="R6" i="10"/>
  <c r="R4" i="10"/>
  <c r="S13" i="10"/>
  <c r="S21" i="10"/>
  <c r="S9" i="10"/>
  <c r="S11" i="10"/>
  <c r="S8" i="10"/>
  <c r="S27" i="10"/>
  <c r="C33" i="10"/>
  <c r="S15" i="10"/>
  <c r="S24" i="10"/>
  <c r="S31" i="10"/>
  <c r="S7" i="10"/>
  <c r="R5" i="10"/>
  <c r="S12" i="10"/>
  <c r="R20" i="10"/>
  <c r="S28" i="10"/>
  <c r="S30" i="10"/>
  <c r="S23" i="10"/>
  <c r="T9" i="11"/>
  <c r="AC9" i="11"/>
  <c r="W15" i="11"/>
  <c r="S29" i="10"/>
  <c r="S10" i="10"/>
  <c r="S17" i="10"/>
  <c r="S26" i="10"/>
  <c r="P2" i="6"/>
  <c r="U31" i="10"/>
  <c r="U21" i="10"/>
  <c r="U14" i="11"/>
  <c r="E33" i="10"/>
  <c r="U7" i="10"/>
  <c r="U10" i="10"/>
  <c r="X17" i="11"/>
  <c r="U4" i="10"/>
  <c r="U11" i="10"/>
  <c r="U25" i="10"/>
  <c r="U12" i="10"/>
  <c r="X18" i="11"/>
  <c r="AG14" i="10"/>
  <c r="X19" i="11"/>
  <c r="X9" i="11"/>
  <c r="X21" i="11"/>
  <c r="U5" i="11"/>
  <c r="T10" i="11"/>
  <c r="X10" i="11"/>
  <c r="X22" i="11"/>
  <c r="U27" i="10"/>
  <c r="U7" i="11"/>
  <c r="T17" i="11"/>
  <c r="X11" i="11"/>
  <c r="T18" i="11"/>
  <c r="X13" i="11"/>
  <c r="X14" i="11"/>
  <c r="AE12" i="11"/>
  <c r="AD21" i="11"/>
  <c r="AD28" i="11"/>
  <c r="U11" i="11"/>
  <c r="AD24" i="11"/>
  <c r="AD20" i="11"/>
  <c r="AD27" i="11"/>
  <c r="X27" i="10"/>
  <c r="AD26" i="11"/>
  <c r="AD29" i="11"/>
  <c r="AD31" i="11"/>
  <c r="AD30" i="11"/>
  <c r="X11" i="10"/>
  <c r="X24" i="10"/>
  <c r="X28" i="10"/>
  <c r="X19" i="10"/>
  <c r="X12" i="11"/>
  <c r="X20" i="11"/>
  <c r="X7" i="10"/>
  <c r="X13" i="10"/>
  <c r="R21" i="10"/>
  <c r="X21" i="10"/>
  <c r="X23" i="10"/>
  <c r="X20" i="10"/>
  <c r="U12" i="11"/>
  <c r="X7" i="11"/>
  <c r="X15" i="11"/>
  <c r="X30" i="10"/>
  <c r="X31" i="10"/>
  <c r="X26" i="10"/>
  <c r="X8" i="10"/>
  <c r="X8" i="11"/>
  <c r="X17" i="10"/>
  <c r="AE13" i="11"/>
  <c r="P14" i="6"/>
  <c r="X15" i="10"/>
  <c r="R16" i="10"/>
  <c r="R15" i="10"/>
  <c r="R26" i="10"/>
  <c r="H7" i="6"/>
  <c r="U6" i="11"/>
  <c r="U13" i="11"/>
  <c r="U8" i="11"/>
  <c r="U15" i="11"/>
  <c r="H5" i="6"/>
  <c r="U19" i="11"/>
  <c r="U16" i="11"/>
  <c r="AD18" i="11"/>
  <c r="U9" i="11"/>
  <c r="U17" i="11"/>
  <c r="U10" i="11"/>
  <c r="U18" i="11"/>
  <c r="U4" i="11"/>
  <c r="AE14" i="11"/>
  <c r="AE15" i="11"/>
  <c r="X14" i="10"/>
  <c r="L18" i="6"/>
  <c r="AE16" i="11"/>
  <c r="AE9" i="11"/>
  <c r="AE17" i="11"/>
  <c r="P17" i="6"/>
  <c r="AE10" i="11"/>
  <c r="AE18" i="11"/>
  <c r="X25" i="10"/>
  <c r="X12" i="10"/>
  <c r="X10" i="10"/>
  <c r="AE11" i="11"/>
  <c r="AE19" i="11"/>
  <c r="X9" i="10"/>
  <c r="X16" i="10"/>
  <c r="AE20" i="11"/>
  <c r="X18" i="10"/>
  <c r="X29" i="10"/>
  <c r="R24" i="10"/>
  <c r="U14" i="10"/>
  <c r="P4" i="6"/>
  <c r="AD19" i="11"/>
  <c r="R18" i="10"/>
  <c r="R17" i="10"/>
  <c r="R12" i="10"/>
  <c r="T11" i="11"/>
  <c r="T19" i="11"/>
  <c r="B33" i="10"/>
  <c r="R14" i="10"/>
  <c r="R13" i="10"/>
  <c r="T12" i="11"/>
  <c r="R11" i="10"/>
  <c r="R10" i="10"/>
  <c r="R9" i="10"/>
  <c r="R31" i="10"/>
  <c r="T13" i="11"/>
  <c r="AD16" i="11"/>
  <c r="R19" i="10"/>
  <c r="R27" i="10"/>
  <c r="T14" i="11"/>
  <c r="R30" i="10"/>
  <c r="R29" i="10"/>
  <c r="R28" i="10"/>
  <c r="R23" i="10"/>
  <c r="T7" i="11"/>
  <c r="T15" i="11"/>
  <c r="R22" i="10"/>
  <c r="R25" i="10"/>
  <c r="T8" i="11"/>
  <c r="AD14" i="11"/>
  <c r="AF21" i="11"/>
  <c r="AD15" i="11"/>
  <c r="AD17" i="11"/>
  <c r="AF23" i="11"/>
  <c r="AD13" i="11"/>
  <c r="AG27" i="10"/>
  <c r="F33" i="10"/>
  <c r="AD7" i="11"/>
  <c r="AD12" i="11"/>
  <c r="AD10" i="11"/>
  <c r="AD9" i="11"/>
  <c r="AD8" i="11"/>
  <c r="O5" i="6"/>
  <c r="P5" i="6"/>
  <c r="H4" i="6"/>
  <c r="G2" i="6"/>
  <c r="G8" i="6"/>
  <c r="AE18" i="10"/>
  <c r="O33" i="10"/>
  <c r="G3" i="6"/>
  <c r="H3" i="6"/>
  <c r="V6" i="11"/>
  <c r="V7" i="11"/>
  <c r="V18" i="11"/>
  <c r="V8" i="11"/>
  <c r="V14" i="11"/>
  <c r="V9" i="11"/>
  <c r="V19" i="11"/>
  <c r="V13" i="11"/>
  <c r="V17" i="11"/>
  <c r="AG14" i="11"/>
  <c r="Y26" i="11"/>
  <c r="AB24" i="11"/>
  <c r="V31" i="10"/>
  <c r="AG12" i="10"/>
  <c r="AB23" i="11"/>
  <c r="V6" i="10"/>
  <c r="AG21" i="10"/>
  <c r="V15" i="11"/>
  <c r="V12" i="11"/>
  <c r="V20" i="11"/>
  <c r="V30" i="10"/>
  <c r="V11" i="10"/>
  <c r="V24" i="10"/>
  <c r="V9" i="10"/>
  <c r="AG20" i="10"/>
  <c r="AG13" i="10"/>
  <c r="V13" i="10"/>
  <c r="V19" i="10"/>
  <c r="AG11" i="10"/>
  <c r="V11" i="11"/>
  <c r="V16" i="11"/>
  <c r="V16" i="10"/>
  <c r="V29" i="10"/>
  <c r="V25" i="10"/>
  <c r="V23" i="10"/>
  <c r="AG29" i="10"/>
  <c r="AG25" i="10"/>
  <c r="Y31" i="11"/>
  <c r="AB27" i="11"/>
  <c r="V28" i="10"/>
  <c r="V17" i="10"/>
  <c r="V12" i="10"/>
  <c r="V7" i="10"/>
  <c r="V15" i="10"/>
  <c r="AG28" i="10"/>
  <c r="AG16" i="10"/>
  <c r="V26" i="10"/>
  <c r="V22" i="10"/>
  <c r="V18" i="10"/>
  <c r="AG17" i="10"/>
  <c r="Q33" i="10"/>
  <c r="V8" i="10"/>
  <c r="V14" i="10"/>
  <c r="V10" i="10"/>
  <c r="AG9" i="10"/>
  <c r="AG19" i="10"/>
  <c r="AG24" i="10"/>
  <c r="AG25" i="11"/>
  <c r="V21" i="10"/>
  <c r="V20" i="10"/>
  <c r="AG18" i="10"/>
  <c r="AG23" i="10"/>
  <c r="AA23" i="11"/>
  <c r="W25" i="11"/>
  <c r="AE21" i="11"/>
  <c r="AF24" i="11"/>
  <c r="AA21" i="11"/>
  <c r="J34" i="11"/>
  <c r="U21" i="11"/>
  <c r="R25" i="11"/>
  <c r="V21" i="11"/>
  <c r="S22" i="11"/>
  <c r="U30" i="11"/>
  <c r="W29" i="11"/>
  <c r="AF28" i="10"/>
  <c r="G9" i="6"/>
  <c r="H9" i="6"/>
  <c r="AG22" i="11"/>
  <c r="AG20" i="11"/>
  <c r="AE13" i="10"/>
  <c r="AF10" i="10"/>
  <c r="AF20" i="10"/>
  <c r="AF25" i="10"/>
  <c r="AF13" i="10"/>
  <c r="AF19" i="10"/>
  <c r="AF16" i="10"/>
  <c r="AF15" i="10"/>
  <c r="AF8" i="10"/>
  <c r="AF26" i="10"/>
  <c r="AF17" i="10"/>
  <c r="AF24" i="10"/>
  <c r="AF18" i="10"/>
  <c r="AF11" i="10"/>
  <c r="AF22" i="10"/>
  <c r="AF9" i="10"/>
  <c r="AF12" i="10"/>
  <c r="AF23" i="10"/>
  <c r="AF14" i="10"/>
  <c r="AF21" i="10"/>
  <c r="AE22" i="11"/>
  <c r="AF25" i="11"/>
  <c r="AG10" i="11"/>
  <c r="R26" i="11"/>
  <c r="AG15" i="11"/>
  <c r="AF27" i="11"/>
  <c r="Y30" i="11"/>
  <c r="AF29" i="10"/>
  <c r="AG10" i="10"/>
  <c r="AF19" i="11"/>
  <c r="AF11" i="11"/>
  <c r="AF18" i="11"/>
  <c r="AF10" i="11"/>
  <c r="AF13" i="11"/>
  <c r="AF12" i="11"/>
  <c r="AF17" i="11"/>
  <c r="AF9" i="11"/>
  <c r="AF16" i="11"/>
  <c r="AF8" i="11"/>
  <c r="AF15" i="11"/>
  <c r="AF14" i="11"/>
  <c r="AF20" i="11"/>
  <c r="AG12" i="11"/>
  <c r="AE10" i="10"/>
  <c r="AE25" i="10"/>
  <c r="AE16" i="10"/>
  <c r="AE29" i="10"/>
  <c r="AE20" i="10"/>
  <c r="AE17" i="10"/>
  <c r="AE22" i="10"/>
  <c r="AE26" i="10"/>
  <c r="AE28" i="10"/>
  <c r="AE19" i="10"/>
  <c r="AE9" i="10"/>
  <c r="AE23" i="10"/>
  <c r="AE12" i="10"/>
  <c r="AE30" i="10"/>
  <c r="AE24" i="10"/>
  <c r="AE14" i="10"/>
  <c r="AE31" i="10"/>
  <c r="S21" i="11"/>
  <c r="AE21" i="10"/>
  <c r="Z29" i="11"/>
  <c r="AE11" i="10"/>
  <c r="AG21" i="11"/>
  <c r="AG19" i="11"/>
  <c r="C10" i="6"/>
  <c r="AF30" i="10"/>
  <c r="AE27" i="10"/>
  <c r="AG22" i="10"/>
  <c r="AG9" i="11"/>
  <c r="AG13" i="11"/>
  <c r="AF27" i="10"/>
  <c r="AG16" i="11"/>
  <c r="AG18" i="11"/>
  <c r="AG17" i="11"/>
  <c r="U29" i="11"/>
  <c r="Z25" i="11"/>
  <c r="W23" i="11"/>
  <c r="P33" i="10"/>
  <c r="AG15" i="10"/>
  <c r="AG30" i="10"/>
  <c r="AG26" i="10"/>
  <c r="U26" i="11"/>
  <c r="X25" i="11"/>
  <c r="W27" i="11"/>
  <c r="S3" i="6"/>
  <c r="C23" i="11"/>
  <c r="S23" i="11" s="1"/>
  <c r="C27" i="11"/>
  <c r="C26" i="11"/>
  <c r="C25" i="11"/>
  <c r="C24" i="11"/>
  <c r="S15" i="6"/>
  <c r="O27" i="11"/>
  <c r="O26" i="11"/>
  <c r="O25" i="11"/>
  <c r="O24" i="11"/>
  <c r="O23" i="11"/>
  <c r="Y29" i="11"/>
  <c r="AF26" i="11"/>
  <c r="H31" i="11"/>
  <c r="H30" i="11"/>
  <c r="H29" i="11"/>
  <c r="H28" i="11"/>
  <c r="X28" i="11" s="1"/>
  <c r="U22" i="11"/>
  <c r="U27" i="11"/>
  <c r="U31" i="11"/>
  <c r="AA24" i="11"/>
  <c r="Y28" i="11"/>
  <c r="AG24" i="11"/>
  <c r="S4" i="6"/>
  <c r="D27" i="11"/>
  <c r="D26" i="11"/>
  <c r="D25" i="11"/>
  <c r="D24" i="11"/>
  <c r="D23" i="11"/>
  <c r="T22" i="11"/>
  <c r="AC20" i="11"/>
  <c r="Y27" i="11"/>
  <c r="S6" i="6"/>
  <c r="F26" i="11"/>
  <c r="F25" i="11"/>
  <c r="F24" i="11"/>
  <c r="F23" i="11"/>
  <c r="F27" i="11"/>
  <c r="X26" i="11"/>
  <c r="Z26" i="11"/>
  <c r="Z30" i="11"/>
  <c r="Q31" i="11"/>
  <c r="Q30" i="11"/>
  <c r="Q29" i="11"/>
  <c r="Q28" i="11"/>
  <c r="AG28" i="11" s="1"/>
  <c r="W31" i="11"/>
  <c r="W24" i="11"/>
  <c r="R27" i="11"/>
  <c r="R23" i="11"/>
  <c r="AA26" i="11"/>
  <c r="AB26" i="11"/>
  <c r="R24" i="11"/>
  <c r="Y25" i="11"/>
  <c r="AB25" i="11"/>
  <c r="T21" i="11"/>
  <c r="U23" i="11"/>
  <c r="E34" i="11"/>
  <c r="U28" i="11"/>
  <c r="AC21" i="11"/>
  <c r="AA27" i="11"/>
  <c r="X23" i="11"/>
  <c r="X27" i="11"/>
  <c r="AG27" i="11"/>
  <c r="Z23" i="11"/>
  <c r="Z27" i="11"/>
  <c r="Z31" i="11"/>
  <c r="W26" i="11"/>
  <c r="W28" i="11"/>
  <c r="G34" i="11"/>
  <c r="S20" i="11"/>
  <c r="B31" i="11"/>
  <c r="B30" i="11"/>
  <c r="B29" i="11"/>
  <c r="B28" i="11"/>
  <c r="P31" i="11"/>
  <c r="P30" i="11"/>
  <c r="P29" i="11"/>
  <c r="P28" i="11"/>
  <c r="AA25" i="11"/>
  <c r="Y24" i="11"/>
  <c r="L31" i="11"/>
  <c r="L30" i="11"/>
  <c r="L29" i="11"/>
  <c r="L28" i="11"/>
  <c r="I34" i="11"/>
  <c r="K30" i="11"/>
  <c r="K29" i="11"/>
  <c r="K28" i="11"/>
  <c r="K31" i="11"/>
  <c r="M27" i="11"/>
  <c r="S13" i="6"/>
  <c r="M26" i="11"/>
  <c r="M25" i="11"/>
  <c r="M24" i="11"/>
  <c r="M23" i="11"/>
  <c r="U20" i="11"/>
  <c r="U24" i="11"/>
  <c r="U25" i="11"/>
  <c r="V22" i="11"/>
  <c r="AG23" i="11"/>
  <c r="T20" i="11"/>
  <c r="AC22" i="11"/>
  <c r="X24" i="11"/>
  <c r="Z24" i="11"/>
  <c r="Z28" i="11"/>
  <c r="W30" i="11"/>
  <c r="AG26" i="11"/>
  <c r="AF14" i="5" l="1"/>
  <c r="W15" i="5"/>
  <c r="AC14" i="5"/>
  <c r="T11" i="5"/>
  <c r="Q15" i="5"/>
  <c r="Z15" i="5"/>
  <c r="K15" i="5"/>
  <c r="N14" i="5"/>
  <c r="T24" i="11"/>
  <c r="V25" i="11"/>
  <c r="X29" i="11"/>
  <c r="B34" i="11"/>
  <c r="AF31" i="11"/>
  <c r="AG30" i="11"/>
  <c r="R29" i="11"/>
  <c r="AF28" i="11"/>
  <c r="AF30" i="11"/>
  <c r="V26" i="11"/>
  <c r="AB30" i="11"/>
  <c r="X30" i="11"/>
  <c r="V24" i="11"/>
  <c r="AA30" i="11"/>
  <c r="P34" i="11"/>
  <c r="X31" i="11"/>
  <c r="T27" i="11"/>
  <c r="AB29" i="11"/>
  <c r="R31" i="11"/>
  <c r="L34" i="11"/>
  <c r="D31" i="11"/>
  <c r="D30" i="11"/>
  <c r="D29" i="11"/>
  <c r="D28" i="11"/>
  <c r="AG29" i="11"/>
  <c r="O31" i="11"/>
  <c r="O30" i="11"/>
  <c r="O29" i="11"/>
  <c r="O28" i="11"/>
  <c r="C30" i="11"/>
  <c r="C29" i="11"/>
  <c r="C31" i="11"/>
  <c r="C28" i="11"/>
  <c r="S28" i="11" s="1"/>
  <c r="T25" i="11"/>
  <c r="H34" i="11"/>
  <c r="AA28" i="11"/>
  <c r="AA31" i="11"/>
  <c r="AC26" i="11"/>
  <c r="AC23" i="11"/>
  <c r="M31" i="11"/>
  <c r="M30" i="11"/>
  <c r="M29" i="11"/>
  <c r="M28" i="11"/>
  <c r="AB31" i="11"/>
  <c r="S26" i="11"/>
  <c r="AC25" i="11"/>
  <c r="S25" i="11"/>
  <c r="AC24" i="11"/>
  <c r="T23" i="11"/>
  <c r="AF29" i="11"/>
  <c r="AG31" i="11"/>
  <c r="V27" i="11"/>
  <c r="V23" i="11"/>
  <c r="F31" i="11"/>
  <c r="F30" i="11"/>
  <c r="F29" i="11"/>
  <c r="F28" i="11"/>
  <c r="AC27" i="11"/>
  <c r="T26" i="11"/>
  <c r="R28" i="11"/>
  <c r="AE23" i="11"/>
  <c r="AE26" i="11"/>
  <c r="AE27" i="11"/>
  <c r="AE25" i="11"/>
  <c r="AE24" i="11"/>
  <c r="S27" i="11"/>
  <c r="AB28" i="11"/>
  <c r="S24" i="11"/>
  <c r="R30" i="11"/>
  <c r="AA29" i="11"/>
  <c r="Q34" i="11"/>
  <c r="K34" i="11"/>
  <c r="T10" i="5" l="1"/>
  <c r="N13" i="5"/>
  <c r="K14" i="5"/>
  <c r="AC13" i="5"/>
  <c r="Z14" i="5"/>
  <c r="W14" i="5"/>
  <c r="Q14" i="5"/>
  <c r="AF13" i="5"/>
  <c r="V29" i="11"/>
  <c r="C34" i="11"/>
  <c r="AE30" i="11"/>
  <c r="AC29" i="11"/>
  <c r="T28" i="11"/>
  <c r="AC30" i="11"/>
  <c r="S31" i="11"/>
  <c r="M34" i="11"/>
  <c r="S30" i="11"/>
  <c r="AE28" i="11"/>
  <c r="O34" i="11"/>
  <c r="V31" i="11"/>
  <c r="D34" i="11"/>
  <c r="T29" i="11"/>
  <c r="T31" i="11"/>
  <c r="T30" i="11"/>
  <c r="V30" i="11"/>
  <c r="S29" i="11"/>
  <c r="F34" i="11"/>
  <c r="AC28" i="11"/>
  <c r="V28" i="11"/>
  <c r="AC31" i="11"/>
  <c r="AE31" i="11"/>
  <c r="AE29" i="11"/>
  <c r="AF12" i="5" l="1"/>
  <c r="AC12" i="5"/>
  <c r="Q13" i="5"/>
  <c r="K13" i="5"/>
  <c r="W13" i="5"/>
  <c r="N12" i="5"/>
  <c r="Z13" i="5"/>
  <c r="T9" i="5"/>
  <c r="T8" i="5" l="1"/>
  <c r="K12" i="5"/>
  <c r="Z12" i="5"/>
  <c r="Q12" i="5"/>
  <c r="N11" i="5"/>
  <c r="AC11" i="5"/>
  <c r="W12" i="5"/>
  <c r="AF11" i="5"/>
  <c r="AF10" i="5" l="1"/>
  <c r="Q11" i="5"/>
  <c r="W11" i="5"/>
  <c r="Z11" i="5"/>
  <c r="AC10" i="5"/>
  <c r="K11" i="5"/>
  <c r="N10" i="5"/>
  <c r="T7" i="5"/>
  <c r="Z10" i="5" l="1"/>
  <c r="W10" i="5"/>
  <c r="K10" i="5"/>
  <c r="Q10" i="5"/>
  <c r="T6" i="5"/>
  <c r="N9" i="5"/>
  <c r="AC9" i="5"/>
  <c r="AF9" i="5"/>
  <c r="AF8" i="5" l="1"/>
  <c r="K9" i="5"/>
  <c r="W9" i="5"/>
  <c r="N8" i="5"/>
  <c r="Q9" i="5"/>
  <c r="AC8" i="5"/>
  <c r="T5" i="5"/>
  <c r="Z9" i="5"/>
  <c r="N7" i="5" l="1"/>
  <c r="T4" i="5"/>
  <c r="K8" i="5"/>
  <c r="AC7" i="5"/>
  <c r="Z8" i="5"/>
  <c r="W8" i="5"/>
  <c r="Q8" i="5"/>
  <c r="AF7" i="5"/>
  <c r="AC6" i="5" l="1"/>
  <c r="AF6" i="5"/>
  <c r="Q7" i="5"/>
  <c r="K7" i="5"/>
  <c r="W7" i="5"/>
  <c r="T3" i="5"/>
  <c r="Z7" i="5"/>
  <c r="N6" i="5"/>
  <c r="N5" i="5" l="1"/>
  <c r="Z6" i="5"/>
  <c r="K6" i="5"/>
  <c r="Q6" i="5"/>
  <c r="T2" i="5"/>
  <c r="U3" i="5"/>
  <c r="AF5" i="5"/>
  <c r="W6" i="5"/>
  <c r="AC5" i="5"/>
  <c r="AC4" i="5" l="1"/>
  <c r="Q5" i="5"/>
  <c r="W5" i="5"/>
  <c r="K5" i="5"/>
  <c r="AF4" i="5"/>
  <c r="Z5" i="5"/>
  <c r="U2" i="5"/>
  <c r="U21" i="5"/>
  <c r="U19" i="5"/>
  <c r="U17" i="5"/>
  <c r="U18" i="5"/>
  <c r="U22" i="5"/>
  <c r="U20" i="5"/>
  <c r="U16" i="5"/>
  <c r="U23" i="5"/>
  <c r="U24" i="5"/>
  <c r="U15" i="5"/>
  <c r="U25" i="5"/>
  <c r="U14" i="5"/>
  <c r="U13" i="5"/>
  <c r="U12" i="5"/>
  <c r="U11" i="5"/>
  <c r="U10" i="5"/>
  <c r="U9" i="5"/>
  <c r="U8" i="5"/>
  <c r="U7" i="5"/>
  <c r="U6" i="5"/>
  <c r="U5" i="5"/>
  <c r="U4" i="5"/>
  <c r="N4" i="5"/>
  <c r="W4" i="5" l="1"/>
  <c r="Z4" i="5"/>
  <c r="Q4" i="5"/>
  <c r="K4" i="5"/>
  <c r="N3" i="5"/>
  <c r="AF3" i="5"/>
  <c r="AC3" i="5"/>
  <c r="K3" i="5" l="1"/>
  <c r="AC2" i="5"/>
  <c r="AD3" i="5"/>
  <c r="Q3" i="5"/>
  <c r="AF2" i="5"/>
  <c r="AG3" i="5"/>
  <c r="Z3" i="5"/>
  <c r="N2" i="5"/>
  <c r="O3" i="5"/>
  <c r="W3" i="5"/>
  <c r="AG2" i="5" l="1"/>
  <c r="AG20" i="5"/>
  <c r="AG21" i="5"/>
  <c r="AG22" i="5"/>
  <c r="AG19" i="5"/>
  <c r="AG18" i="5"/>
  <c r="AG23" i="5"/>
  <c r="AG24" i="5"/>
  <c r="AG17" i="5"/>
  <c r="AG16" i="5"/>
  <c r="AG25" i="5"/>
  <c r="AG15" i="5"/>
  <c r="AG14" i="5"/>
  <c r="AG13" i="5"/>
  <c r="AG12" i="5"/>
  <c r="AG11" i="5"/>
  <c r="AG10" i="5"/>
  <c r="AG9" i="5"/>
  <c r="AG8" i="5"/>
  <c r="AG7" i="5"/>
  <c r="AG6" i="5"/>
  <c r="AG5" i="5"/>
  <c r="AG4" i="5"/>
  <c r="Q2" i="5"/>
  <c r="W2" i="5"/>
  <c r="X3" i="5"/>
  <c r="O2" i="5"/>
  <c r="O20" i="5"/>
  <c r="O21" i="5"/>
  <c r="O22" i="5"/>
  <c r="O19" i="5"/>
  <c r="O18" i="5"/>
  <c r="O23" i="5"/>
  <c r="O17" i="5"/>
  <c r="O24" i="5"/>
  <c r="O25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AD2" i="5"/>
  <c r="AD21" i="5"/>
  <c r="AD20" i="5"/>
  <c r="AD22" i="5"/>
  <c r="AD19" i="5"/>
  <c r="AD23" i="5"/>
  <c r="AD18" i="5"/>
  <c r="AD24" i="5"/>
  <c r="AD17" i="5"/>
  <c r="AD25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2" i="5"/>
  <c r="AA3" i="5"/>
  <c r="K2" i="5"/>
  <c r="L3" i="5"/>
  <c r="R2" i="5" l="1"/>
  <c r="R21" i="5"/>
  <c r="R22" i="5"/>
  <c r="R20" i="5"/>
  <c r="R23" i="5"/>
  <c r="R19" i="5"/>
  <c r="R24" i="5"/>
  <c r="R25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L2" i="5"/>
  <c r="L21" i="5"/>
  <c r="L20" i="5"/>
  <c r="L22" i="5"/>
  <c r="L23" i="5"/>
  <c r="L19" i="5"/>
  <c r="L24" i="5"/>
  <c r="L18" i="5"/>
  <c r="L25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A2" i="5"/>
  <c r="AA22" i="5"/>
  <c r="AA21" i="5"/>
  <c r="AA23" i="5"/>
  <c r="AA20" i="5"/>
  <c r="AA24" i="5"/>
  <c r="AA19" i="5"/>
  <c r="AA18" i="5"/>
  <c r="AA25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X2" i="5"/>
  <c r="X21" i="5"/>
  <c r="X22" i="5"/>
  <c r="X20" i="5"/>
  <c r="X23" i="5"/>
  <c r="X24" i="5"/>
  <c r="X19" i="5"/>
  <c r="X25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R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D55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E86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B2-1
</t>
        </r>
      </text>
    </comment>
    <comment ref="E87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C2-1
</t>
        </r>
      </text>
    </comment>
    <comment ref="E88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D1-1, since ran out of silos and want to stock oysters that correspond to non-ethanol taineted samples
</t>
        </r>
      </text>
    </comment>
    <comment ref="E96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E104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E108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E127" authorId="0" shapeId="0" xr:uid="{00000000-0006-0000-0000-000009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B2-4 FROM 4/5 - NEEDED A 9/10 GROUP
</t>
        </r>
      </text>
    </comment>
    <comment ref="E140" authorId="0" shapeId="0" xr:uid="{00000000-0006-0000-00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P10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14" authorId="0" shapeId="0" xr:uid="{00000000-0006-0000-05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SPILLED SOME - COUNT WAS 645 BUT IS LIKELY LOW DUE TO SPILL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<sst xmlns="http://schemas.openxmlformats.org/spreadsheetml/2006/main" count="2708" uniqueCount="426">
  <si>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</si>
  <si>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</si>
  <si>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</si>
  <si>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</si>
  <si>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</si>
  <si>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</si>
  <si>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</si>
  <si>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</si>
  <si>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</si>
  <si>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</si>
  <si>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</si>
  <si>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</si>
  <si>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</si>
  <si>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</si>
  <si>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</si>
  <si>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</si>
  <si>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</si>
  <si>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</si>
  <si>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</si>
  <si>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</si>
  <si>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</si>
  <si>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</si>
  <si>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</si>
  <si>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</si>
  <si>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</si>
  <si>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</si>
  <si>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</si>
  <si>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</si>
  <si>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</si>
  <si>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</si>
  <si>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</si>
  <si>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</si>
  <si>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</si>
  <si>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</si>
  <si>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</si>
  <si>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</si>
  <si>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</si>
  <si>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</si>
  <si>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</si>
  <si>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</si>
  <si>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</si>
  <si>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</si>
  <si>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</si>
  <si>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</si>
  <si>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</si>
  <si>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</si>
  <si>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</si>
  <si>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</si>
  <si>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</si>
  <si>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</si>
  <si>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</si>
  <si>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</si>
  <si>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</si>
  <si>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</si>
  <si>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</si>
  <si>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</si>
  <si>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</si>
  <si>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</si>
  <si>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</si>
  <si>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</si>
  <si>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</si>
  <si>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</si>
  <si>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</si>
  <si>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</si>
  <si>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</si>
  <si>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</si>
  <si>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</si>
  <si>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</si>
  <si>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</si>
  <si>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</si>
  <si>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</si>
  <si>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</si>
  <si>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</si>
  <si>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</si>
  <si>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</si>
  <si>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</si>
  <si>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</si>
  <si>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</si>
  <si>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</si>
  <si>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</si>
  <si>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</si>
  <si>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</si>
  <si>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</si>
  <si>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</si>
  <si>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</si>
  <si>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</si>
  <si>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</si>
  <si>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</si>
  <si>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</si>
  <si>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</si>
  <si>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</si>
  <si>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</si>
  <si>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</si>
  <si>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</si>
  <si>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</si>
  <si>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</si>
  <si>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</si>
  <si>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</si>
  <si>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</si>
  <si>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</si>
  <si>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</si>
  <si>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</si>
  <si>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</si>
  <si>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</si>
  <si>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</si>
  <si>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</si>
  <si>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</si>
  <si>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</si>
  <si>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</si>
  <si>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</si>
  <si>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</si>
  <si>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</si>
  <si>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</si>
  <si>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</si>
  <si>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</si>
  <si>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</si>
  <si>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</si>
  <si>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</si>
  <si>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</si>
  <si>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</si>
  <si>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</si>
  <si>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</si>
  <si>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</si>
  <si>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</si>
  <si>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</si>
  <si>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</si>
  <si>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</si>
  <si>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</si>
  <si>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</si>
  <si>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</si>
  <si>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</si>
  <si>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</si>
  <si>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</si>
  <si>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</si>
  <si>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</si>
  <si>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</si>
  <si>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</si>
  <si>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</si>
  <si>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</si>
  <si>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</si>
  <si>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</si>
  <si>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</si>
  <si>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</si>
  <si>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</si>
  <si>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</si>
  <si>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</si>
  <si>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</si>
  <si>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</si>
  <si>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</si>
  <si>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</si>
  <si>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</si>
  <si>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</si>
  <si>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</si>
  <si>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</si>
  <si>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</si>
  <si>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</si>
  <si>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</si>
  <si>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</si>
  <si>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</si>
  <si>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</si>
  <si>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</si>
  <si>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</si>
  <si>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</si>
  <si>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</si>
  <si>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</si>
  <si>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</si>
  <si>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</si>
  <si>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</si>
  <si>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</si>
  <si>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</si>
  <si>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</si>
  <si>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</si>
  <si>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</si>
  <si>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</si>
  <si>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</si>
  <si>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</si>
  <si>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</si>
  <si>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</si>
  <si>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</si>
  <si>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</si>
  <si>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</si>
  <si>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</si>
  <si>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</si>
  <si>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</si>
  <si>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</si>
  <si>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</si>
  <si>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</si>
  <si>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</si>
  <si>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</si>
  <si>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</si>
  <si>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</si>
  <si>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</si>
  <si>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</si>
  <si>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</si>
  <si>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</si>
  <si>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</si>
  <si>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</si>
  <si>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</si>
  <si>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</si>
  <si>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</si>
  <si>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</si>
  <si>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</si>
  <si>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</si>
  <si>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</si>
  <si>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</si>
  <si>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</si>
  <si>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  <charset val="2"/>
      </rPr>
      <t xml:space="preserve"> </t>
    </r>
    <r>
      <rPr>
        <b/>
        <sz val="16"/>
        <color theme="1"/>
        <rFont val="Calibri"/>
        <family val="2"/>
        <scheme val="minor"/>
      </rPr>
      <t>REP</t>
    </r>
    <r>
      <rPr>
        <b/>
        <sz val="16"/>
        <color theme="1"/>
        <rFont val="Wingdings"/>
        <charset val="2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</si>
  <si>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</si>
  <si>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</si>
  <si>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</si>
  <si>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</si>
  <si>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</si>
  <si>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</si>
  <si>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</si>
  <si>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</si>
  <si>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</si>
  <si>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</si>
  <si>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</si>
  <si>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</si>
  <si>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</si>
  <si>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</si>
  <si>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</si>
  <si>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</si>
  <si>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</si>
  <si>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</si>
  <si>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</si>
  <si>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</si>
  <si>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</si>
  <si>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</si>
  <si>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</si>
  <si>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</si>
  <si>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</si>
  <si>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</si>
  <si>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</si>
  <si>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</si>
  <si>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</si>
  <si>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</si>
  <si>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</si>
  <si>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</si>
  <si>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</si>
  <si>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</si>
  <si>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</si>
  <si>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</si>
  <si>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</si>
  <si>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</si>
  <si>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</si>
  <si>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</si>
  <si>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</si>
  <si>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</si>
  <si>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</si>
  <si>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</si>
  <si>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</si>
  <si>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</si>
  <si>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</si>
  <si>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</si>
  <si>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</si>
  <si>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</si>
  <si>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</si>
  <si>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</si>
  <si>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</si>
  <si>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</si>
  <si>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</si>
  <si>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</si>
  <si>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</si>
  <si>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</si>
  <si>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</si>
  <si>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</si>
  <si>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</si>
  <si>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</si>
  <si>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</si>
  <si>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</si>
  <si>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</si>
  <si>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</si>
  <si>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</si>
  <si>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</si>
  <si>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</si>
  <si>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</si>
  <si>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</si>
  <si>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</si>
  <si>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</si>
  <si>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</si>
  <si>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</si>
  <si>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</si>
  <si>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</si>
  <si>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</si>
  <si>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</si>
  <si>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</si>
  <si>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</si>
  <si>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</si>
  <si>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</si>
  <si>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</si>
  <si>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</si>
  <si>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</si>
  <si>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</si>
  <si>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</si>
  <si>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</si>
  <si>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</si>
  <si>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</si>
  <si>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</si>
  <si>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</si>
  <si>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</si>
  <si>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</si>
  <si>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</si>
  <si>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</si>
  <si>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</si>
  <si>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</si>
  <si>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</si>
  <si>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</si>
  <si>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</si>
  <si>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</si>
  <si>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</si>
  <si>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</si>
  <si>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</si>
  <si>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</si>
  <si>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</si>
  <si>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</si>
  <si>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</si>
  <si>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</si>
  <si>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</si>
  <si>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</si>
  <si>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</si>
  <si>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</si>
  <si>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</si>
  <si>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</si>
  <si>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</si>
  <si>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</si>
  <si>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</si>
  <si>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</si>
  <si>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</si>
  <si>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</si>
  <si>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</si>
  <si>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</si>
  <si>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</si>
  <si>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</si>
  <si>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</si>
  <si>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</si>
  <si>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</si>
  <si>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</si>
  <si>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</si>
  <si>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</si>
  <si>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</si>
  <si>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</si>
  <si>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</si>
  <si>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</si>
  <si>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</si>
  <si>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</si>
  <si>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</si>
  <si>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</si>
  <si>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</si>
  <si>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</si>
  <si>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</si>
  <si>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</si>
  <si>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</si>
  <si>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</si>
  <si>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</si>
  <si>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</si>
  <si>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</si>
  <si>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</si>
  <si>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</si>
  <si>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</si>
  <si>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</si>
  <si>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</si>
  <si>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</si>
  <si>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</si>
  <si>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</si>
  <si>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</si>
  <si>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</si>
  <si>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</si>
  <si>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</si>
  <si>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</si>
  <si>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</si>
  <si>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</si>
  <si>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</si>
  <si>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</si>
  <si>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</si>
  <si>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</si>
  <si>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</si>
  <si>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</si>
  <si>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</si>
  <si>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</si>
  <si>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</si>
  <si>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</si>
  <si>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</si>
  <si>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</si>
  <si>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</si>
  <si>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</si>
  <si>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</si>
  <si>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</si>
  <si>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</si>
  <si>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</si>
  <si>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</si>
  <si>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</si>
  <si>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</si>
  <si>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</si>
  <si>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Rep</t>
  </si>
  <si>
    <t>COLD</t>
  </si>
  <si>
    <t>HIGH</t>
  </si>
  <si>
    <t>LOW</t>
  </si>
  <si>
    <t>WARM</t>
  </si>
  <si>
    <t>family</t>
  </si>
  <si>
    <t>temp</t>
  </si>
  <si>
    <t>food</t>
  </si>
  <si>
    <t>mean.live.35</t>
  </si>
  <si>
    <t>sd.live.35</t>
  </si>
  <si>
    <t>Spawning bucket</t>
  </si>
  <si>
    <t>Date Collected</t>
  </si>
  <si>
    <t>TRT.REP</t>
  </si>
  <si>
    <t>Alive</t>
  </si>
  <si>
    <t>A1-ALIVE</t>
  </si>
  <si>
    <t>A2-ALIVE</t>
  </si>
  <si>
    <t>B1-ALIVE</t>
  </si>
  <si>
    <t>B2-ALIVE</t>
  </si>
  <si>
    <t>C1-ALIVE</t>
  </si>
  <si>
    <t>C2-ALIVE</t>
  </si>
  <si>
    <t>D1-ALIVE</t>
  </si>
  <si>
    <t>D2-ALIVE</t>
  </si>
  <si>
    <t>A1-% Alive</t>
  </si>
  <si>
    <t>A2-% ALIVE</t>
  </si>
  <si>
    <t>B1-%ALIVE</t>
  </si>
  <si>
    <t>D2-% ALIVE</t>
  </si>
  <si>
    <t>B2-%-ALIVE</t>
  </si>
  <si>
    <t>Live.15.months.10</t>
  </si>
  <si>
    <t>Live.15.months.rest</t>
  </si>
  <si>
    <t>NA</t>
  </si>
  <si>
    <t>Perc.surv.rest</t>
  </si>
  <si>
    <t>Perc.surv.10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</si>
</sst>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  <numFmt numFmtId="169" formatCode="_(* #,##0.000_);_(* \(#,##0.000\);_(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Wingdings"/>
      <charset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0" fontId="4" fillId="0" borderId="0" xfId="0" applyNumberFormat="1" applyFont="1"/>
    <xf numFmtId="164" fontId="0" fillId="0" borderId="0" xfId="1" applyNumberFormat="1" applyFont="1" applyFill="1" applyBorder="1"/>
    <xf numFmtId="0" fontId="24" fillId="0" borderId="0" xfId="0" applyFont="1"/>
    <xf numFmtId="0" fontId="24" fillId="0" borderId="0" xfId="0" applyFont="1" applyFill="1" applyBorder="1"/>
    <xf numFmtId="166" fontId="13" fillId="3" borderId="0" xfId="0" applyNumberFormat="1" applyFont="1" applyFill="1" applyBorder="1" applyAlignment="1">
      <alignment horizontal="right"/>
    </xf>
    <xf numFmtId="166" fontId="0" fillId="0" borderId="0" xfId="0" applyNumberFormat="1"/>
    <xf numFmtId="165" fontId="24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Font="1"/>
    <xf numFmtId="164" fontId="0" fillId="0" borderId="0" xfId="1" applyNumberFormat="1" applyFont="1" applyFill="1" applyBorder="1" applyAlignment="1">
      <alignment wrapText="1"/>
    </xf>
    <xf numFmtId="164" fontId="0" fillId="0" borderId="0" xfId="332" applyNumberFormat="1" applyFont="1" applyFill="1" applyBorder="1"/>
    <xf numFmtId="164" fontId="0" fillId="0" borderId="0" xfId="1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332" applyNumberFormat="1" applyFont="1" applyFill="1" applyBorder="1" applyAlignment="1">
      <alignment horizontal="right"/>
    </xf>
    <xf numFmtId="169" fontId="0" fillId="0" borderId="0" xfId="1" applyNumberFormat="1" applyFont="1" applyFill="1" applyBorder="1" applyAlignment="1">
      <alignment horizontal="right" wrapText="1"/>
    </xf>
    <xf numFmtId="169" fontId="0" fillId="0" borderId="0" xfId="1" applyNumberFormat="1" applyFont="1" applyBorder="1" applyAlignment="1">
      <alignment horizontal="right"/>
    </xf>
    <xf numFmtId="169" fontId="0" fillId="0" borderId="0" xfId="1" applyNumberFormat="1" applyFont="1" applyFill="1" applyBorder="1" applyAlignment="1">
      <alignment horizontal="right"/>
    </xf>
    <xf numFmtId="169" fontId="0" fillId="0" borderId="0" xfId="0" applyNumberFormat="1"/>
    <xf numFmtId="169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13" fillId="4" borderId="0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154">
    <cellStyle name="Comma" xfId="1" builtinId="3"/>
    <cellStyle name="Comma 2" xfId="601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2.2599999999999998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4.1100000000000003</c:v>
                </c:pt>
                <c:pt idx="13">
                  <c:v>1.0900000000000001</c:v>
                </c:pt>
                <c:pt idx="14">
                  <c:v>1.1599999999999999</c:v>
                </c:pt>
                <c:pt idx="15">
                  <c:v>2.8656716417910446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0.10154690618762471</c:v>
                </c:pt>
                <c:pt idx="1">
                  <c:v>7.2083333333333444E-2</c:v>
                </c:pt>
                <c:pt idx="2">
                  <c:v>0.14167640674570045</c:v>
                </c:pt>
                <c:pt idx="3">
                  <c:v>-3.0352904992872111E-2</c:v>
                </c:pt>
                <c:pt idx="4">
                  <c:v>5.2048726467331205E-2</c:v>
                </c:pt>
                <c:pt idx="5">
                  <c:v>0.11158206176656361</c:v>
                </c:pt>
                <c:pt idx="6">
                  <c:v>-4.5015354655082086E-2</c:v>
                </c:pt>
                <c:pt idx="7">
                  <c:v>-3.6856673118145285E-2</c:v>
                </c:pt>
                <c:pt idx="8">
                  <c:v>0.1426758982192117</c:v>
                </c:pt>
                <c:pt idx="9">
                  <c:v>1.4601585314977007E-2</c:v>
                </c:pt>
                <c:pt idx="10">
                  <c:v>0.11940921925383867</c:v>
                </c:pt>
                <c:pt idx="11">
                  <c:v>-3.5486578232059335E-2</c:v>
                </c:pt>
                <c:pt idx="12">
                  <c:v>1.5250708606115293E-2</c:v>
                </c:pt>
                <c:pt idx="13">
                  <c:v>-4.2880299460236471E-2</c:v>
                </c:pt>
                <c:pt idx="14">
                  <c:v>-6.2769915620224423E-2</c:v>
                </c:pt>
                <c:pt idx="15">
                  <c:v>0.10541666666666671</c:v>
                </c:pt>
                <c:pt idx="16">
                  <c:v>-0.10583333333333328</c:v>
                </c:pt>
                <c:pt idx="17">
                  <c:v>3.2728788826349754E-2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B544-BA80-6334BB6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1048"/>
        <c:axId val="-2067879544"/>
      </c:scatterChart>
      <c:valAx>
        <c:axId val="-20681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67879544"/>
        <c:crosses val="autoZero"/>
        <c:crossBetween val="midCat"/>
      </c:valAx>
      <c:valAx>
        <c:axId val="-2067879544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681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6.1035422343324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</c:v>
                </c:pt>
                <c:pt idx="1">
                  <c:v>66880</c:v>
                </c:pt>
                <c:pt idx="2">
                  <c:v>66880</c:v>
                </c:pt>
                <c:pt idx="3">
                  <c:v>66880</c:v>
                </c:pt>
                <c:pt idx="4">
                  <c:v>187840</c:v>
                </c:pt>
                <c:pt idx="5">
                  <c:v>830062.22222222225</c:v>
                </c:pt>
                <c:pt idx="6">
                  <c:v>830062.22222222225</c:v>
                </c:pt>
                <c:pt idx="7">
                  <c:v>830062.22222222225</c:v>
                </c:pt>
                <c:pt idx="8">
                  <c:v>839512.22222222225</c:v>
                </c:pt>
                <c:pt idx="9">
                  <c:v>2908845.555555556</c:v>
                </c:pt>
                <c:pt idx="10">
                  <c:v>2993428.8888888895</c:v>
                </c:pt>
                <c:pt idx="11">
                  <c:v>3006381.2698412705</c:v>
                </c:pt>
                <c:pt idx="12">
                  <c:v>3006381.2698412705</c:v>
                </c:pt>
                <c:pt idx="13">
                  <c:v>3161547.936507937</c:v>
                </c:pt>
                <c:pt idx="14">
                  <c:v>3435147.936507937</c:v>
                </c:pt>
                <c:pt idx="15">
                  <c:v>4486881.2698412705</c:v>
                </c:pt>
                <c:pt idx="16">
                  <c:v>4486881.2698412705</c:v>
                </c:pt>
                <c:pt idx="17">
                  <c:v>4486881.2698412705</c:v>
                </c:pt>
                <c:pt idx="18">
                  <c:v>4486881.2698412705</c:v>
                </c:pt>
                <c:pt idx="19">
                  <c:v>4539981.2698412705</c:v>
                </c:pt>
                <c:pt idx="20">
                  <c:v>4539981.2698412705</c:v>
                </c:pt>
                <c:pt idx="21">
                  <c:v>4710606.2698412705</c:v>
                </c:pt>
                <c:pt idx="22">
                  <c:v>5728939.6031746035</c:v>
                </c:pt>
                <c:pt idx="23">
                  <c:v>5728939.6031746035</c:v>
                </c:pt>
                <c:pt idx="24">
                  <c:v>5728939.6031746035</c:v>
                </c:pt>
                <c:pt idx="25">
                  <c:v>5728939.6031746035</c:v>
                </c:pt>
                <c:pt idx="26">
                  <c:v>6012828.4920634925</c:v>
                </c:pt>
                <c:pt idx="27">
                  <c:v>6012828.4920634925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B54F-97A5-9621E0AAF952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862240</c:v>
                </c:pt>
                <c:pt idx="6">
                  <c:v>1064586.6666666667</c:v>
                </c:pt>
                <c:pt idx="7">
                  <c:v>1064586.6666666667</c:v>
                </c:pt>
                <c:pt idx="8">
                  <c:v>1375586.6666666667</c:v>
                </c:pt>
                <c:pt idx="9">
                  <c:v>1385926.6666666667</c:v>
                </c:pt>
                <c:pt idx="10">
                  <c:v>2754926.666666667</c:v>
                </c:pt>
                <c:pt idx="11">
                  <c:v>2754926.666666667</c:v>
                </c:pt>
                <c:pt idx="12">
                  <c:v>2754926.666666667</c:v>
                </c:pt>
                <c:pt idx="13">
                  <c:v>2754926.666666667</c:v>
                </c:pt>
                <c:pt idx="14">
                  <c:v>2754926.666666667</c:v>
                </c:pt>
                <c:pt idx="15">
                  <c:v>2754926.666666667</c:v>
                </c:pt>
                <c:pt idx="16">
                  <c:v>2923726.666666667</c:v>
                </c:pt>
                <c:pt idx="17">
                  <c:v>2923726.666666667</c:v>
                </c:pt>
                <c:pt idx="18">
                  <c:v>2923726.666666667</c:v>
                </c:pt>
                <c:pt idx="19">
                  <c:v>2923726.666666667</c:v>
                </c:pt>
                <c:pt idx="20">
                  <c:v>2923726.666666667</c:v>
                </c:pt>
                <c:pt idx="21">
                  <c:v>2923726.666666667</c:v>
                </c:pt>
                <c:pt idx="22">
                  <c:v>2923726.666666667</c:v>
                </c:pt>
                <c:pt idx="23">
                  <c:v>2923726.666666667</c:v>
                </c:pt>
                <c:pt idx="24">
                  <c:v>3136526.666666667</c:v>
                </c:pt>
                <c:pt idx="25">
                  <c:v>3136526.666666667</c:v>
                </c:pt>
                <c:pt idx="26">
                  <c:v>3136526.666666667</c:v>
                </c:pt>
                <c:pt idx="27">
                  <c:v>3136526.666666667</c:v>
                </c:pt>
                <c:pt idx="28">
                  <c:v>3136526.666666667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B54F-97A5-9621E0AAF952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219486.66666666669</c:v>
                </c:pt>
                <c:pt idx="2">
                  <c:v>219486.66666666669</c:v>
                </c:pt>
                <c:pt idx="3">
                  <c:v>230486.66666666669</c:v>
                </c:pt>
                <c:pt idx="4">
                  <c:v>687486.66666666674</c:v>
                </c:pt>
                <c:pt idx="5">
                  <c:v>687486.66666666674</c:v>
                </c:pt>
                <c:pt idx="6">
                  <c:v>1392028.3333333335</c:v>
                </c:pt>
                <c:pt idx="7">
                  <c:v>1392028.3333333335</c:v>
                </c:pt>
                <c:pt idx="8">
                  <c:v>1690495.0000000002</c:v>
                </c:pt>
                <c:pt idx="9">
                  <c:v>1717021.666666667</c:v>
                </c:pt>
                <c:pt idx="10">
                  <c:v>1717021.666666667</c:v>
                </c:pt>
                <c:pt idx="11">
                  <c:v>1717021.666666667</c:v>
                </c:pt>
                <c:pt idx="12">
                  <c:v>1717021.666666667</c:v>
                </c:pt>
                <c:pt idx="13">
                  <c:v>1717021.666666667</c:v>
                </c:pt>
                <c:pt idx="14">
                  <c:v>1717021.666666667</c:v>
                </c:pt>
                <c:pt idx="15">
                  <c:v>2242021.666666667</c:v>
                </c:pt>
                <c:pt idx="16">
                  <c:v>2594327.2222222225</c:v>
                </c:pt>
                <c:pt idx="17">
                  <c:v>3238487.2222222225</c:v>
                </c:pt>
                <c:pt idx="18">
                  <c:v>3238487.2222222225</c:v>
                </c:pt>
                <c:pt idx="19">
                  <c:v>3238487.2222222225</c:v>
                </c:pt>
                <c:pt idx="20">
                  <c:v>3238487.2222222225</c:v>
                </c:pt>
                <c:pt idx="21">
                  <c:v>3238487.2222222225</c:v>
                </c:pt>
                <c:pt idx="22">
                  <c:v>3238487.2222222225</c:v>
                </c:pt>
                <c:pt idx="23">
                  <c:v>3238487.2222222225</c:v>
                </c:pt>
                <c:pt idx="24">
                  <c:v>3238487.2222222225</c:v>
                </c:pt>
                <c:pt idx="25">
                  <c:v>3238487.2222222225</c:v>
                </c:pt>
                <c:pt idx="26">
                  <c:v>3238487.2222222225</c:v>
                </c:pt>
                <c:pt idx="27">
                  <c:v>3712153.888888889</c:v>
                </c:pt>
                <c:pt idx="28">
                  <c:v>3712153.888888889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B54F-97A5-9621E0AAF952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124500</c:v>
                </c:pt>
                <c:pt idx="2">
                  <c:v>124500</c:v>
                </c:pt>
                <c:pt idx="3">
                  <c:v>328071.42857142858</c:v>
                </c:pt>
                <c:pt idx="4">
                  <c:v>328071.42857142858</c:v>
                </c:pt>
                <c:pt idx="5">
                  <c:v>595938.09523809527</c:v>
                </c:pt>
                <c:pt idx="6">
                  <c:v>595938.09523809527</c:v>
                </c:pt>
                <c:pt idx="7">
                  <c:v>595938.09523809527</c:v>
                </c:pt>
                <c:pt idx="8">
                  <c:v>595938.09523809527</c:v>
                </c:pt>
                <c:pt idx="9">
                  <c:v>605538.09523809527</c:v>
                </c:pt>
                <c:pt idx="10">
                  <c:v>843538.09523809527</c:v>
                </c:pt>
                <c:pt idx="11">
                  <c:v>843538.09523809527</c:v>
                </c:pt>
                <c:pt idx="12">
                  <c:v>1073204.7619047619</c:v>
                </c:pt>
                <c:pt idx="13">
                  <c:v>1073204.7619047619</c:v>
                </c:pt>
                <c:pt idx="14">
                  <c:v>1184371.4285714286</c:v>
                </c:pt>
                <c:pt idx="15">
                  <c:v>1184371.4285714286</c:v>
                </c:pt>
                <c:pt idx="16">
                  <c:v>1184371.4285714286</c:v>
                </c:pt>
                <c:pt idx="17">
                  <c:v>1184371.4285714286</c:v>
                </c:pt>
                <c:pt idx="18">
                  <c:v>1184371.4285714286</c:v>
                </c:pt>
                <c:pt idx="19">
                  <c:v>1198967.6190476192</c:v>
                </c:pt>
                <c:pt idx="20">
                  <c:v>1198967.6190476192</c:v>
                </c:pt>
                <c:pt idx="21">
                  <c:v>1198967.6190476192</c:v>
                </c:pt>
                <c:pt idx="22">
                  <c:v>1198967.6190476192</c:v>
                </c:pt>
                <c:pt idx="23">
                  <c:v>1198967.6190476192</c:v>
                </c:pt>
                <c:pt idx="24">
                  <c:v>1198967.6190476192</c:v>
                </c:pt>
                <c:pt idx="25">
                  <c:v>1198967.6190476192</c:v>
                </c:pt>
                <c:pt idx="26">
                  <c:v>1198967.6190476192</c:v>
                </c:pt>
                <c:pt idx="27">
                  <c:v>1198967.6190476192</c:v>
                </c:pt>
                <c:pt idx="28">
                  <c:v>1198967.6190476192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E-B54F-97A5-9621E0AAF952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42119.047619047618</c:v>
                </c:pt>
                <c:pt idx="4">
                  <c:v>359292.38095238095</c:v>
                </c:pt>
                <c:pt idx="5">
                  <c:v>359292.38095238095</c:v>
                </c:pt>
                <c:pt idx="6">
                  <c:v>359292.38095238095</c:v>
                </c:pt>
                <c:pt idx="7">
                  <c:v>772092.38095238095</c:v>
                </c:pt>
                <c:pt idx="8">
                  <c:v>772092.38095238095</c:v>
                </c:pt>
                <c:pt idx="9">
                  <c:v>805719.04761904757</c:v>
                </c:pt>
                <c:pt idx="10">
                  <c:v>1064685.7142857143</c:v>
                </c:pt>
                <c:pt idx="11">
                  <c:v>1064685.7142857143</c:v>
                </c:pt>
                <c:pt idx="12">
                  <c:v>1773019.0476190476</c:v>
                </c:pt>
                <c:pt idx="13">
                  <c:v>1773019.0476190476</c:v>
                </c:pt>
                <c:pt idx="14">
                  <c:v>1773019.0476190476</c:v>
                </c:pt>
                <c:pt idx="15">
                  <c:v>1773019.0476190476</c:v>
                </c:pt>
                <c:pt idx="16">
                  <c:v>1773019.0476190476</c:v>
                </c:pt>
                <c:pt idx="17">
                  <c:v>1773019.0476190476</c:v>
                </c:pt>
                <c:pt idx="18">
                  <c:v>1773019.0476190476</c:v>
                </c:pt>
                <c:pt idx="19">
                  <c:v>1773019.0476190476</c:v>
                </c:pt>
                <c:pt idx="20">
                  <c:v>1773019.0476190476</c:v>
                </c:pt>
                <c:pt idx="21">
                  <c:v>1873352.3809523808</c:v>
                </c:pt>
                <c:pt idx="22">
                  <c:v>1908874.6031746031</c:v>
                </c:pt>
                <c:pt idx="23">
                  <c:v>1908874.6031746031</c:v>
                </c:pt>
                <c:pt idx="24">
                  <c:v>2188585.7142857141</c:v>
                </c:pt>
                <c:pt idx="25">
                  <c:v>2188585.7142857141</c:v>
                </c:pt>
                <c:pt idx="26">
                  <c:v>2494019.0476190476</c:v>
                </c:pt>
                <c:pt idx="27">
                  <c:v>3408952.3809523806</c:v>
                </c:pt>
                <c:pt idx="28">
                  <c:v>3408952.3809523806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E-B54F-97A5-9621E0AAF952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64826.666666666672</c:v>
                </c:pt>
                <c:pt idx="2">
                  <c:v>789626.66666666663</c:v>
                </c:pt>
                <c:pt idx="3">
                  <c:v>803093.33333333326</c:v>
                </c:pt>
                <c:pt idx="4">
                  <c:v>803093.33333333326</c:v>
                </c:pt>
                <c:pt idx="5">
                  <c:v>803093.33333333326</c:v>
                </c:pt>
                <c:pt idx="6">
                  <c:v>803093.33333333326</c:v>
                </c:pt>
                <c:pt idx="7">
                  <c:v>803093.33333333326</c:v>
                </c:pt>
                <c:pt idx="8">
                  <c:v>803093.33333333326</c:v>
                </c:pt>
                <c:pt idx="9">
                  <c:v>803093.33333333326</c:v>
                </c:pt>
                <c:pt idx="10">
                  <c:v>1458293.3333333333</c:v>
                </c:pt>
                <c:pt idx="11">
                  <c:v>2270293.333333333</c:v>
                </c:pt>
                <c:pt idx="12">
                  <c:v>2304159.9999999995</c:v>
                </c:pt>
                <c:pt idx="13">
                  <c:v>2304159.9999999995</c:v>
                </c:pt>
                <c:pt idx="14">
                  <c:v>2513948.8888888885</c:v>
                </c:pt>
                <c:pt idx="15">
                  <c:v>2513948.8888888885</c:v>
                </c:pt>
                <c:pt idx="16">
                  <c:v>2513948.8888888885</c:v>
                </c:pt>
                <c:pt idx="17">
                  <c:v>2997948.8888888885</c:v>
                </c:pt>
                <c:pt idx="18">
                  <c:v>2997948.8888888885</c:v>
                </c:pt>
                <c:pt idx="19">
                  <c:v>2997948.8888888885</c:v>
                </c:pt>
                <c:pt idx="20">
                  <c:v>2997948.8888888885</c:v>
                </c:pt>
                <c:pt idx="21">
                  <c:v>2997948.8888888885</c:v>
                </c:pt>
                <c:pt idx="22">
                  <c:v>3423073.8888888885</c:v>
                </c:pt>
                <c:pt idx="23">
                  <c:v>3423073.8888888885</c:v>
                </c:pt>
                <c:pt idx="24">
                  <c:v>3423073.8888888885</c:v>
                </c:pt>
                <c:pt idx="25">
                  <c:v>3423073.8888888885</c:v>
                </c:pt>
                <c:pt idx="26">
                  <c:v>3423073.8888888885</c:v>
                </c:pt>
                <c:pt idx="27">
                  <c:v>3423073.8888888885</c:v>
                </c:pt>
                <c:pt idx="28">
                  <c:v>3423073.8888888885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E-B54F-97A5-9621E0AAF952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900373.33333333326</c:v>
                </c:pt>
                <c:pt idx="2">
                  <c:v>1114093.3333333333</c:v>
                </c:pt>
                <c:pt idx="3">
                  <c:v>1173926.6666666665</c:v>
                </c:pt>
                <c:pt idx="4">
                  <c:v>1498059.9999999998</c:v>
                </c:pt>
                <c:pt idx="5">
                  <c:v>1498059.9999999998</c:v>
                </c:pt>
                <c:pt idx="6">
                  <c:v>1498059.9999999998</c:v>
                </c:pt>
                <c:pt idx="7">
                  <c:v>1730809.9999999998</c:v>
                </c:pt>
                <c:pt idx="8">
                  <c:v>1873909.9999999998</c:v>
                </c:pt>
                <c:pt idx="9">
                  <c:v>3017910</c:v>
                </c:pt>
                <c:pt idx="10">
                  <c:v>3017910</c:v>
                </c:pt>
                <c:pt idx="11">
                  <c:v>3017910</c:v>
                </c:pt>
                <c:pt idx="12">
                  <c:v>3017910</c:v>
                </c:pt>
                <c:pt idx="13">
                  <c:v>3169510</c:v>
                </c:pt>
                <c:pt idx="14">
                  <c:v>4093843.333333333</c:v>
                </c:pt>
                <c:pt idx="15">
                  <c:v>4320343.333333333</c:v>
                </c:pt>
                <c:pt idx="16">
                  <c:v>4320343.333333333</c:v>
                </c:pt>
                <c:pt idx="17">
                  <c:v>4529176.666666666</c:v>
                </c:pt>
                <c:pt idx="18">
                  <c:v>4529176.666666666</c:v>
                </c:pt>
                <c:pt idx="19">
                  <c:v>4529176.666666666</c:v>
                </c:pt>
                <c:pt idx="20">
                  <c:v>4529176.666666666</c:v>
                </c:pt>
                <c:pt idx="21">
                  <c:v>4529176.666666666</c:v>
                </c:pt>
                <c:pt idx="22">
                  <c:v>4650176.666666666</c:v>
                </c:pt>
                <c:pt idx="23">
                  <c:v>4650176.666666666</c:v>
                </c:pt>
                <c:pt idx="24">
                  <c:v>4650176.666666666</c:v>
                </c:pt>
                <c:pt idx="25">
                  <c:v>4650176.666666666</c:v>
                </c:pt>
                <c:pt idx="26">
                  <c:v>4650176.666666666</c:v>
                </c:pt>
                <c:pt idx="27">
                  <c:v>4882009.9999999991</c:v>
                </c:pt>
                <c:pt idx="28">
                  <c:v>4882009.9999999991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E-B54F-97A5-9621E0AAF952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218666.66666666669</c:v>
                </c:pt>
                <c:pt idx="2">
                  <c:v>406560</c:v>
                </c:pt>
                <c:pt idx="3">
                  <c:v>413050</c:v>
                </c:pt>
                <c:pt idx="4">
                  <c:v>787283.33333333326</c:v>
                </c:pt>
                <c:pt idx="5">
                  <c:v>787283.33333333326</c:v>
                </c:pt>
                <c:pt idx="6">
                  <c:v>1357550</c:v>
                </c:pt>
                <c:pt idx="7">
                  <c:v>1357550</c:v>
                </c:pt>
                <c:pt idx="8">
                  <c:v>1357550</c:v>
                </c:pt>
                <c:pt idx="9">
                  <c:v>1535661.111111111</c:v>
                </c:pt>
                <c:pt idx="10">
                  <c:v>1844769.4444444445</c:v>
                </c:pt>
                <c:pt idx="11">
                  <c:v>2100347.2222222225</c:v>
                </c:pt>
                <c:pt idx="12">
                  <c:v>2100347.2222222225</c:v>
                </c:pt>
                <c:pt idx="13">
                  <c:v>2212067.2222222225</c:v>
                </c:pt>
                <c:pt idx="14">
                  <c:v>2212067.2222222225</c:v>
                </c:pt>
                <c:pt idx="15">
                  <c:v>2212067.2222222225</c:v>
                </c:pt>
                <c:pt idx="16">
                  <c:v>2212067.2222222225</c:v>
                </c:pt>
                <c:pt idx="17">
                  <c:v>2212067.2222222225</c:v>
                </c:pt>
                <c:pt idx="18">
                  <c:v>2313061.666666667</c:v>
                </c:pt>
                <c:pt idx="19">
                  <c:v>2313061.666666667</c:v>
                </c:pt>
                <c:pt idx="20">
                  <c:v>2634128.3333333335</c:v>
                </c:pt>
                <c:pt idx="21">
                  <c:v>2634128.3333333335</c:v>
                </c:pt>
                <c:pt idx="22">
                  <c:v>2634128.3333333335</c:v>
                </c:pt>
                <c:pt idx="23">
                  <c:v>2894572.777777778</c:v>
                </c:pt>
                <c:pt idx="24">
                  <c:v>2952781.1111111115</c:v>
                </c:pt>
                <c:pt idx="25">
                  <c:v>2952781.1111111115</c:v>
                </c:pt>
                <c:pt idx="26">
                  <c:v>2952781.1111111115</c:v>
                </c:pt>
                <c:pt idx="27">
                  <c:v>2952781.1111111115</c:v>
                </c:pt>
                <c:pt idx="28">
                  <c:v>2952781.1111111115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E-B54F-97A5-9621E0AAF952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150960</c:v>
                </c:pt>
                <c:pt idx="10">
                  <c:v>1274693.3333333335</c:v>
                </c:pt>
                <c:pt idx="11">
                  <c:v>1523026.666666667</c:v>
                </c:pt>
                <c:pt idx="12">
                  <c:v>1844204.4444444447</c:v>
                </c:pt>
                <c:pt idx="13">
                  <c:v>1844204.4444444447</c:v>
                </c:pt>
                <c:pt idx="14">
                  <c:v>1844204.4444444447</c:v>
                </c:pt>
                <c:pt idx="15">
                  <c:v>1844204.4444444447</c:v>
                </c:pt>
                <c:pt idx="16">
                  <c:v>2966171.1111111115</c:v>
                </c:pt>
                <c:pt idx="17">
                  <c:v>2966171.1111111115</c:v>
                </c:pt>
                <c:pt idx="18">
                  <c:v>2966171.1111111115</c:v>
                </c:pt>
                <c:pt idx="19">
                  <c:v>2990254.444444445</c:v>
                </c:pt>
                <c:pt idx="20">
                  <c:v>3094754.444444445</c:v>
                </c:pt>
                <c:pt idx="21">
                  <c:v>3094754.444444445</c:v>
                </c:pt>
                <c:pt idx="22">
                  <c:v>3094754.444444445</c:v>
                </c:pt>
                <c:pt idx="23">
                  <c:v>3094754.444444445</c:v>
                </c:pt>
                <c:pt idx="24">
                  <c:v>3094754.444444445</c:v>
                </c:pt>
                <c:pt idx="25">
                  <c:v>3094754.444444445</c:v>
                </c:pt>
                <c:pt idx="26">
                  <c:v>3094754.444444445</c:v>
                </c:pt>
                <c:pt idx="27">
                  <c:v>3094754.444444445</c:v>
                </c:pt>
                <c:pt idx="28">
                  <c:v>3094754.444444445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E-B54F-97A5-9621E0AAF952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68400</c:v>
                </c:pt>
                <c:pt idx="7">
                  <c:v>651066.66666666674</c:v>
                </c:pt>
                <c:pt idx="8">
                  <c:v>651066.66666666674</c:v>
                </c:pt>
                <c:pt idx="9">
                  <c:v>675066.66666666674</c:v>
                </c:pt>
                <c:pt idx="10">
                  <c:v>1044244.4444444445</c:v>
                </c:pt>
                <c:pt idx="11">
                  <c:v>1098244.4444444445</c:v>
                </c:pt>
                <c:pt idx="12">
                  <c:v>1710577.7777777778</c:v>
                </c:pt>
                <c:pt idx="13">
                  <c:v>1710577.7777777778</c:v>
                </c:pt>
                <c:pt idx="14">
                  <c:v>1710577.7777777778</c:v>
                </c:pt>
                <c:pt idx="15">
                  <c:v>2141244.4444444445</c:v>
                </c:pt>
                <c:pt idx="16">
                  <c:v>2389911.111111111</c:v>
                </c:pt>
                <c:pt idx="17">
                  <c:v>2389911.111111111</c:v>
                </c:pt>
                <c:pt idx="18">
                  <c:v>2389911.111111111</c:v>
                </c:pt>
                <c:pt idx="19">
                  <c:v>2389911.111111111</c:v>
                </c:pt>
                <c:pt idx="20">
                  <c:v>2389911.111111111</c:v>
                </c:pt>
                <c:pt idx="21">
                  <c:v>2463644.4444444445</c:v>
                </c:pt>
                <c:pt idx="22">
                  <c:v>2463644.4444444445</c:v>
                </c:pt>
                <c:pt idx="23">
                  <c:v>2463644.4444444445</c:v>
                </c:pt>
                <c:pt idx="24">
                  <c:v>2463644.4444444445</c:v>
                </c:pt>
                <c:pt idx="25">
                  <c:v>2463644.4444444445</c:v>
                </c:pt>
                <c:pt idx="26">
                  <c:v>2463644.4444444445</c:v>
                </c:pt>
                <c:pt idx="27">
                  <c:v>2463644.4444444445</c:v>
                </c:pt>
                <c:pt idx="28">
                  <c:v>2463644.4444444445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E-B54F-97A5-9621E0AAF952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189466.66666666666</c:v>
                </c:pt>
                <c:pt idx="7">
                  <c:v>189466.66666666666</c:v>
                </c:pt>
                <c:pt idx="8">
                  <c:v>189466.66666666666</c:v>
                </c:pt>
                <c:pt idx="9">
                  <c:v>281400</c:v>
                </c:pt>
                <c:pt idx="10">
                  <c:v>622500</c:v>
                </c:pt>
                <c:pt idx="11">
                  <c:v>877100</c:v>
                </c:pt>
                <c:pt idx="12">
                  <c:v>1029033.3333333334</c:v>
                </c:pt>
                <c:pt idx="13">
                  <c:v>1029033.3333333334</c:v>
                </c:pt>
                <c:pt idx="14">
                  <c:v>1029033.3333333334</c:v>
                </c:pt>
                <c:pt idx="15">
                  <c:v>1029033.3333333334</c:v>
                </c:pt>
                <c:pt idx="16">
                  <c:v>1123338.888888889</c:v>
                </c:pt>
                <c:pt idx="17">
                  <c:v>1123338.888888889</c:v>
                </c:pt>
                <c:pt idx="18">
                  <c:v>1308984.7222222222</c:v>
                </c:pt>
                <c:pt idx="19">
                  <c:v>1308984.7222222222</c:v>
                </c:pt>
                <c:pt idx="20">
                  <c:v>1308984.7222222222</c:v>
                </c:pt>
                <c:pt idx="21">
                  <c:v>1308984.7222222222</c:v>
                </c:pt>
                <c:pt idx="22">
                  <c:v>1775234.7222222222</c:v>
                </c:pt>
                <c:pt idx="23">
                  <c:v>1775234.7222222222</c:v>
                </c:pt>
                <c:pt idx="24">
                  <c:v>1775234.7222222222</c:v>
                </c:pt>
                <c:pt idx="25">
                  <c:v>1775234.7222222222</c:v>
                </c:pt>
                <c:pt idx="26">
                  <c:v>1775234.7222222222</c:v>
                </c:pt>
                <c:pt idx="27">
                  <c:v>1775234.7222222222</c:v>
                </c:pt>
                <c:pt idx="28">
                  <c:v>1775234.7222222222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E-B54F-97A5-9621E0AAF952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191166.66666666666</c:v>
                </c:pt>
                <c:pt idx="7">
                  <c:v>191166.66666666666</c:v>
                </c:pt>
                <c:pt idx="8">
                  <c:v>191166.66666666666</c:v>
                </c:pt>
                <c:pt idx="9">
                  <c:v>191166.66666666666</c:v>
                </c:pt>
                <c:pt idx="10">
                  <c:v>191166.66666666666</c:v>
                </c:pt>
                <c:pt idx="11">
                  <c:v>191166.66666666666</c:v>
                </c:pt>
                <c:pt idx="12">
                  <c:v>191166.66666666666</c:v>
                </c:pt>
                <c:pt idx="13">
                  <c:v>191166.66666666666</c:v>
                </c:pt>
                <c:pt idx="14">
                  <c:v>191166.66666666666</c:v>
                </c:pt>
                <c:pt idx="15">
                  <c:v>191166.66666666666</c:v>
                </c:pt>
                <c:pt idx="16">
                  <c:v>191166.66666666666</c:v>
                </c:pt>
                <c:pt idx="17">
                  <c:v>807046.66666666663</c:v>
                </c:pt>
                <c:pt idx="18">
                  <c:v>818921.66666666663</c:v>
                </c:pt>
                <c:pt idx="19">
                  <c:v>818921.66666666663</c:v>
                </c:pt>
                <c:pt idx="20">
                  <c:v>818921.66666666663</c:v>
                </c:pt>
                <c:pt idx="21">
                  <c:v>1261588.3333333333</c:v>
                </c:pt>
                <c:pt idx="22">
                  <c:v>1261588.3333333333</c:v>
                </c:pt>
                <c:pt idx="23">
                  <c:v>1261588.3333333333</c:v>
                </c:pt>
                <c:pt idx="24">
                  <c:v>1261588.3333333333</c:v>
                </c:pt>
                <c:pt idx="25">
                  <c:v>1261588.3333333333</c:v>
                </c:pt>
                <c:pt idx="26">
                  <c:v>1261588.3333333333</c:v>
                </c:pt>
                <c:pt idx="27">
                  <c:v>1759988.3333333333</c:v>
                </c:pt>
                <c:pt idx="28">
                  <c:v>1759988.3333333333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6E-B54F-97A5-9621E0AAF952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412160</c:v>
                </c:pt>
                <c:pt idx="5">
                  <c:v>412160</c:v>
                </c:pt>
                <c:pt idx="6">
                  <c:v>412160</c:v>
                </c:pt>
                <c:pt idx="7">
                  <c:v>740860</c:v>
                </c:pt>
                <c:pt idx="8">
                  <c:v>808180</c:v>
                </c:pt>
                <c:pt idx="9">
                  <c:v>808180</c:v>
                </c:pt>
                <c:pt idx="10">
                  <c:v>1972180</c:v>
                </c:pt>
                <c:pt idx="11">
                  <c:v>2645580</c:v>
                </c:pt>
                <c:pt idx="12">
                  <c:v>2974913.3333333335</c:v>
                </c:pt>
                <c:pt idx="13">
                  <c:v>2974913.3333333335</c:v>
                </c:pt>
                <c:pt idx="14">
                  <c:v>2993802.2222222225</c:v>
                </c:pt>
                <c:pt idx="15">
                  <c:v>2993802.2222222225</c:v>
                </c:pt>
                <c:pt idx="16">
                  <c:v>2993802.2222222225</c:v>
                </c:pt>
                <c:pt idx="17">
                  <c:v>2993802.2222222225</c:v>
                </c:pt>
                <c:pt idx="18">
                  <c:v>2993802.2222222225</c:v>
                </c:pt>
                <c:pt idx="19">
                  <c:v>2993802.2222222225</c:v>
                </c:pt>
                <c:pt idx="20">
                  <c:v>2993802.2222222225</c:v>
                </c:pt>
                <c:pt idx="21">
                  <c:v>2993802.2222222225</c:v>
                </c:pt>
                <c:pt idx="22">
                  <c:v>2993802.2222222225</c:v>
                </c:pt>
                <c:pt idx="23">
                  <c:v>2993802.2222222225</c:v>
                </c:pt>
                <c:pt idx="24">
                  <c:v>3284991.1111111115</c:v>
                </c:pt>
                <c:pt idx="25">
                  <c:v>3284991.1111111115</c:v>
                </c:pt>
                <c:pt idx="26">
                  <c:v>3284991.1111111115</c:v>
                </c:pt>
                <c:pt idx="27">
                  <c:v>3530963.333333334</c:v>
                </c:pt>
                <c:pt idx="28">
                  <c:v>3530963.333333334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6E-B54F-97A5-9621E0AAF952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2250</c:v>
                </c:pt>
                <c:pt idx="4">
                  <c:v>881770</c:v>
                </c:pt>
                <c:pt idx="5">
                  <c:v>915296.66666666663</c:v>
                </c:pt>
                <c:pt idx="6">
                  <c:v>1122696.6666666665</c:v>
                </c:pt>
                <c:pt idx="7">
                  <c:v>1258696.6666666665</c:v>
                </c:pt>
                <c:pt idx="8">
                  <c:v>1271382.3809523808</c:v>
                </c:pt>
                <c:pt idx="9">
                  <c:v>1613882.3809523808</c:v>
                </c:pt>
                <c:pt idx="10">
                  <c:v>2151082.3809523806</c:v>
                </c:pt>
                <c:pt idx="11">
                  <c:v>2151082.3809523806</c:v>
                </c:pt>
                <c:pt idx="12">
                  <c:v>2151082.3809523806</c:v>
                </c:pt>
                <c:pt idx="13">
                  <c:v>2151082.3809523806</c:v>
                </c:pt>
                <c:pt idx="14">
                  <c:v>2151082.3809523806</c:v>
                </c:pt>
                <c:pt idx="15">
                  <c:v>2406082.3809523806</c:v>
                </c:pt>
                <c:pt idx="16">
                  <c:v>2509971.2698412696</c:v>
                </c:pt>
                <c:pt idx="17">
                  <c:v>3355971.2698412696</c:v>
                </c:pt>
                <c:pt idx="18">
                  <c:v>3355971.2698412696</c:v>
                </c:pt>
                <c:pt idx="19">
                  <c:v>3355971.2698412696</c:v>
                </c:pt>
                <c:pt idx="20">
                  <c:v>3388931.2698412696</c:v>
                </c:pt>
                <c:pt idx="21">
                  <c:v>3388931.2698412696</c:v>
                </c:pt>
                <c:pt idx="22">
                  <c:v>3388931.2698412696</c:v>
                </c:pt>
                <c:pt idx="23">
                  <c:v>3388931.2698412696</c:v>
                </c:pt>
                <c:pt idx="24">
                  <c:v>3388931.2698412696</c:v>
                </c:pt>
                <c:pt idx="25">
                  <c:v>3388931.2698412696</c:v>
                </c:pt>
                <c:pt idx="26">
                  <c:v>3388931.2698412696</c:v>
                </c:pt>
                <c:pt idx="27">
                  <c:v>3388931.2698412696</c:v>
                </c:pt>
                <c:pt idx="28">
                  <c:v>3388931.2698412696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6E-B54F-97A5-9621E0AAF952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751200</c:v>
                </c:pt>
                <c:pt idx="5">
                  <c:v>793146.66666666663</c:v>
                </c:pt>
                <c:pt idx="6">
                  <c:v>793146.66666666663</c:v>
                </c:pt>
                <c:pt idx="7">
                  <c:v>793146.66666666663</c:v>
                </c:pt>
                <c:pt idx="8">
                  <c:v>793146.66666666663</c:v>
                </c:pt>
                <c:pt idx="9">
                  <c:v>887546.66666666663</c:v>
                </c:pt>
                <c:pt idx="10">
                  <c:v>984213.33333333326</c:v>
                </c:pt>
                <c:pt idx="11">
                  <c:v>1015413.3333333333</c:v>
                </c:pt>
                <c:pt idx="12">
                  <c:v>1015413.3333333333</c:v>
                </c:pt>
                <c:pt idx="13">
                  <c:v>1015413.3333333333</c:v>
                </c:pt>
                <c:pt idx="14">
                  <c:v>1015413.3333333333</c:v>
                </c:pt>
                <c:pt idx="15">
                  <c:v>1175013.3333333333</c:v>
                </c:pt>
                <c:pt idx="16">
                  <c:v>1175013.3333333333</c:v>
                </c:pt>
                <c:pt idx="17">
                  <c:v>1175013.3333333333</c:v>
                </c:pt>
                <c:pt idx="18">
                  <c:v>1175013.3333333333</c:v>
                </c:pt>
                <c:pt idx="19">
                  <c:v>1175013.3333333333</c:v>
                </c:pt>
                <c:pt idx="20">
                  <c:v>1193813.3333333333</c:v>
                </c:pt>
                <c:pt idx="21">
                  <c:v>1505280</c:v>
                </c:pt>
                <c:pt idx="22">
                  <c:v>2047080</c:v>
                </c:pt>
                <c:pt idx="23">
                  <c:v>2047080</c:v>
                </c:pt>
                <c:pt idx="24">
                  <c:v>2691880</c:v>
                </c:pt>
                <c:pt idx="25">
                  <c:v>2691880</c:v>
                </c:pt>
                <c:pt idx="26">
                  <c:v>2691880</c:v>
                </c:pt>
                <c:pt idx="27">
                  <c:v>2691880</c:v>
                </c:pt>
                <c:pt idx="28">
                  <c:v>2691880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6E-B54F-97A5-9621E0AAF952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5777.7777777777783</c:v>
                </c:pt>
                <c:pt idx="4">
                  <c:v>76977.777777777781</c:v>
                </c:pt>
                <c:pt idx="5">
                  <c:v>522177.77777777775</c:v>
                </c:pt>
                <c:pt idx="6">
                  <c:v>600477.77777777775</c:v>
                </c:pt>
                <c:pt idx="7">
                  <c:v>1030077.7777777778</c:v>
                </c:pt>
                <c:pt idx="8">
                  <c:v>1030077.7777777778</c:v>
                </c:pt>
                <c:pt idx="9">
                  <c:v>1972577.7777777778</c:v>
                </c:pt>
                <c:pt idx="10">
                  <c:v>2153702.777777778</c:v>
                </c:pt>
                <c:pt idx="11">
                  <c:v>2467302.777777778</c:v>
                </c:pt>
                <c:pt idx="12">
                  <c:v>3364569.4444444445</c:v>
                </c:pt>
                <c:pt idx="13">
                  <c:v>3442236.111111111</c:v>
                </c:pt>
                <c:pt idx="14">
                  <c:v>3442236.111111111</c:v>
                </c:pt>
                <c:pt idx="15">
                  <c:v>3538944.4444444445</c:v>
                </c:pt>
                <c:pt idx="16">
                  <c:v>3538944.4444444445</c:v>
                </c:pt>
                <c:pt idx="17">
                  <c:v>3722452.777777778</c:v>
                </c:pt>
                <c:pt idx="18">
                  <c:v>3722452.777777778</c:v>
                </c:pt>
                <c:pt idx="19">
                  <c:v>3722452.777777778</c:v>
                </c:pt>
                <c:pt idx="20">
                  <c:v>3879052.777777778</c:v>
                </c:pt>
                <c:pt idx="21">
                  <c:v>3879052.777777778</c:v>
                </c:pt>
                <c:pt idx="22">
                  <c:v>3879052.777777778</c:v>
                </c:pt>
                <c:pt idx="23">
                  <c:v>3879052.777777778</c:v>
                </c:pt>
                <c:pt idx="24">
                  <c:v>3879052.777777778</c:v>
                </c:pt>
                <c:pt idx="25">
                  <c:v>3879052.777777778</c:v>
                </c:pt>
                <c:pt idx="26">
                  <c:v>3879052.777777778</c:v>
                </c:pt>
                <c:pt idx="27">
                  <c:v>3879052.777777778</c:v>
                </c:pt>
                <c:pt idx="28">
                  <c:v>3879052.777777778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6E-B54F-97A5-9621E0AA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887112"/>
        <c:axId val="-2044223192"/>
      </c:lineChart>
      <c:dateAx>
        <c:axId val="-199288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23192"/>
        <c:crosses val="autoZero"/>
        <c:auto val="1"/>
        <c:lblOffset val="100"/>
        <c:baseTimeUnit val="days"/>
      </c:dateAx>
      <c:valAx>
        <c:axId val="-2044223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887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197"/>
          <c:y val="6.2288520269378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1174</c:v>
                </c:pt>
                <c:pt idx="5">
                  <c:v>5187.8888888888887</c:v>
                </c:pt>
                <c:pt idx="6">
                  <c:v>5187.8888888888887</c:v>
                </c:pt>
                <c:pt idx="7">
                  <c:v>5187.8888888888887</c:v>
                </c:pt>
                <c:pt idx="8">
                  <c:v>5246.9513888888887</c:v>
                </c:pt>
                <c:pt idx="9">
                  <c:v>18180.284722222223</c:v>
                </c:pt>
                <c:pt idx="10">
                  <c:v>18708.930555555555</c:v>
                </c:pt>
                <c:pt idx="11">
                  <c:v>18789.882936507936</c:v>
                </c:pt>
                <c:pt idx="12">
                  <c:v>18789.882936507936</c:v>
                </c:pt>
                <c:pt idx="13">
                  <c:v>19759.674603174604</c:v>
                </c:pt>
                <c:pt idx="14">
                  <c:v>21469.674603174604</c:v>
                </c:pt>
                <c:pt idx="15">
                  <c:v>28043.007936507936</c:v>
                </c:pt>
                <c:pt idx="16">
                  <c:v>28043.007936507936</c:v>
                </c:pt>
                <c:pt idx="17">
                  <c:v>28043.007936507936</c:v>
                </c:pt>
                <c:pt idx="18">
                  <c:v>28043.007936507936</c:v>
                </c:pt>
                <c:pt idx="19">
                  <c:v>28385.588581669228</c:v>
                </c:pt>
                <c:pt idx="20">
                  <c:v>28385.588581669228</c:v>
                </c:pt>
                <c:pt idx="21">
                  <c:v>29486.39503328213</c:v>
                </c:pt>
                <c:pt idx="22">
                  <c:v>36056.287506400411</c:v>
                </c:pt>
                <c:pt idx="23">
                  <c:v>36056.287506400411</c:v>
                </c:pt>
                <c:pt idx="24">
                  <c:v>36056.287506400411</c:v>
                </c:pt>
                <c:pt idx="25">
                  <c:v>36056.287506400411</c:v>
                </c:pt>
                <c:pt idx="26">
                  <c:v>37887.828725038402</c:v>
                </c:pt>
                <c:pt idx="27">
                  <c:v>37887.828725038402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DE4A-8BCB-C9033EB33241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3354.6666666666665</c:v>
                </c:pt>
                <c:pt idx="5">
                  <c:v>5748.2666666666664</c:v>
                </c:pt>
                <c:pt idx="6">
                  <c:v>7097.2444444444445</c:v>
                </c:pt>
                <c:pt idx="7">
                  <c:v>7097.2444444444445</c:v>
                </c:pt>
                <c:pt idx="8">
                  <c:v>9170.5777777777785</c:v>
                </c:pt>
                <c:pt idx="9">
                  <c:v>9239.5111111111109</c:v>
                </c:pt>
                <c:pt idx="10">
                  <c:v>18366.177777777775</c:v>
                </c:pt>
                <c:pt idx="11">
                  <c:v>18366.177777777775</c:v>
                </c:pt>
                <c:pt idx="12">
                  <c:v>18366.177777777775</c:v>
                </c:pt>
                <c:pt idx="13">
                  <c:v>18366.177777777775</c:v>
                </c:pt>
                <c:pt idx="14">
                  <c:v>18366.177777777775</c:v>
                </c:pt>
                <c:pt idx="15">
                  <c:v>18366.177777777775</c:v>
                </c:pt>
                <c:pt idx="16">
                  <c:v>19491.511111111107</c:v>
                </c:pt>
                <c:pt idx="17">
                  <c:v>19491.511111111107</c:v>
                </c:pt>
                <c:pt idx="18">
                  <c:v>19491.511111111107</c:v>
                </c:pt>
                <c:pt idx="19">
                  <c:v>19491.511111111107</c:v>
                </c:pt>
                <c:pt idx="20">
                  <c:v>19491.511111111107</c:v>
                </c:pt>
                <c:pt idx="21">
                  <c:v>19491.511111111107</c:v>
                </c:pt>
                <c:pt idx="22">
                  <c:v>19491.511111111107</c:v>
                </c:pt>
                <c:pt idx="23">
                  <c:v>19491.511111111107</c:v>
                </c:pt>
                <c:pt idx="24">
                  <c:v>20910.177777777775</c:v>
                </c:pt>
                <c:pt idx="25">
                  <c:v>20910.177777777775</c:v>
                </c:pt>
                <c:pt idx="26">
                  <c:v>20910.177777777775</c:v>
                </c:pt>
                <c:pt idx="27">
                  <c:v>20910.177777777775</c:v>
                </c:pt>
                <c:pt idx="28">
                  <c:v>20910.177777777775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DE4A-8BCB-C9033EB33241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1186.4144144144145</c:v>
                </c:pt>
                <c:pt idx="2">
                  <c:v>1186.4144144144145</c:v>
                </c:pt>
                <c:pt idx="3">
                  <c:v>1245.8738738738739</c:v>
                </c:pt>
                <c:pt idx="4">
                  <c:v>3716.1441441441443</c:v>
                </c:pt>
                <c:pt idx="5">
                  <c:v>3716.1441441441443</c:v>
                </c:pt>
                <c:pt idx="6">
                  <c:v>7524.4774774774778</c:v>
                </c:pt>
                <c:pt idx="7">
                  <c:v>7524.4774774774778</c:v>
                </c:pt>
                <c:pt idx="8">
                  <c:v>9137.8108108108117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12119.036036036037</c:v>
                </c:pt>
                <c:pt idx="16">
                  <c:v>14023.390390390392</c:v>
                </c:pt>
                <c:pt idx="17">
                  <c:v>17505.336336336339</c:v>
                </c:pt>
                <c:pt idx="18">
                  <c:v>17505.336336336339</c:v>
                </c:pt>
                <c:pt idx="19">
                  <c:v>17505.336336336339</c:v>
                </c:pt>
                <c:pt idx="20">
                  <c:v>17505.336336336339</c:v>
                </c:pt>
                <c:pt idx="21">
                  <c:v>17505.336336336339</c:v>
                </c:pt>
                <c:pt idx="22">
                  <c:v>17505.336336336339</c:v>
                </c:pt>
                <c:pt idx="23">
                  <c:v>17505.336336336339</c:v>
                </c:pt>
                <c:pt idx="24">
                  <c:v>17505.336336336339</c:v>
                </c:pt>
                <c:pt idx="25">
                  <c:v>17505.336336336339</c:v>
                </c:pt>
                <c:pt idx="26">
                  <c:v>17505.336336336339</c:v>
                </c:pt>
                <c:pt idx="27">
                  <c:v>20065.696696696701</c:v>
                </c:pt>
                <c:pt idx="28">
                  <c:v>20065.696696696701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DE4A-8BCB-C9033EB33241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732.35294117647061</c:v>
                </c:pt>
                <c:pt idx="2">
                  <c:v>732.35294117647061</c:v>
                </c:pt>
                <c:pt idx="3">
                  <c:v>1929.8319327731092</c:v>
                </c:pt>
                <c:pt idx="4">
                  <c:v>1929.8319327731092</c:v>
                </c:pt>
                <c:pt idx="5">
                  <c:v>3505.518207282913</c:v>
                </c:pt>
                <c:pt idx="6">
                  <c:v>3505.518207282913</c:v>
                </c:pt>
                <c:pt idx="7">
                  <c:v>3505.518207282913</c:v>
                </c:pt>
                <c:pt idx="8">
                  <c:v>3505.518207282913</c:v>
                </c:pt>
                <c:pt idx="9">
                  <c:v>3561.9887955182071</c:v>
                </c:pt>
                <c:pt idx="10">
                  <c:v>4961.9887955182076</c:v>
                </c:pt>
                <c:pt idx="11">
                  <c:v>4961.9887955182076</c:v>
                </c:pt>
                <c:pt idx="12">
                  <c:v>6312.9691876750703</c:v>
                </c:pt>
                <c:pt idx="13">
                  <c:v>6312.9691876750703</c:v>
                </c:pt>
                <c:pt idx="14">
                  <c:v>6966.8907563025214</c:v>
                </c:pt>
                <c:pt idx="15">
                  <c:v>6966.8907563025214</c:v>
                </c:pt>
                <c:pt idx="16">
                  <c:v>6966.8907563025214</c:v>
                </c:pt>
                <c:pt idx="17">
                  <c:v>6966.8907563025214</c:v>
                </c:pt>
                <c:pt idx="18">
                  <c:v>6966.8907563025214</c:v>
                </c:pt>
                <c:pt idx="19">
                  <c:v>7052.7507002801121</c:v>
                </c:pt>
                <c:pt idx="20">
                  <c:v>7052.7507002801121</c:v>
                </c:pt>
                <c:pt idx="21">
                  <c:v>7052.7507002801121</c:v>
                </c:pt>
                <c:pt idx="22">
                  <c:v>7052.7507002801121</c:v>
                </c:pt>
                <c:pt idx="23">
                  <c:v>7052.7507002801121</c:v>
                </c:pt>
                <c:pt idx="24">
                  <c:v>7052.7507002801121</c:v>
                </c:pt>
                <c:pt idx="25">
                  <c:v>7052.7507002801121</c:v>
                </c:pt>
                <c:pt idx="26">
                  <c:v>7052.7507002801121</c:v>
                </c:pt>
                <c:pt idx="27">
                  <c:v>7052.7507002801121</c:v>
                </c:pt>
                <c:pt idx="28">
                  <c:v>7052.7507002801121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0-DE4A-8BCB-C9033EB33241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227.67052767052766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4173.472329472329</c:v>
                </c:pt>
                <c:pt idx="8">
                  <c:v>4173.472329472329</c:v>
                </c:pt>
                <c:pt idx="9">
                  <c:v>4355.2380952380945</c:v>
                </c:pt>
                <c:pt idx="10">
                  <c:v>5755.0579150579142</c:v>
                </c:pt>
                <c:pt idx="11">
                  <c:v>5755.0579150579142</c:v>
                </c:pt>
                <c:pt idx="12">
                  <c:v>9583.8867438867419</c:v>
                </c:pt>
                <c:pt idx="13">
                  <c:v>9583.8867438867419</c:v>
                </c:pt>
                <c:pt idx="14">
                  <c:v>9583.8867438867419</c:v>
                </c:pt>
                <c:pt idx="15">
                  <c:v>9583.8867438867419</c:v>
                </c:pt>
                <c:pt idx="16">
                  <c:v>9583.8867438867419</c:v>
                </c:pt>
                <c:pt idx="17">
                  <c:v>9583.8867438867419</c:v>
                </c:pt>
                <c:pt idx="18">
                  <c:v>9583.8867438867419</c:v>
                </c:pt>
                <c:pt idx="19">
                  <c:v>9583.8867438867419</c:v>
                </c:pt>
                <c:pt idx="20">
                  <c:v>9583.8867438867419</c:v>
                </c:pt>
                <c:pt idx="21">
                  <c:v>10126.229086229085</c:v>
                </c:pt>
                <c:pt idx="22">
                  <c:v>10318.241098241097</c:v>
                </c:pt>
                <c:pt idx="23">
                  <c:v>10318.241098241097</c:v>
                </c:pt>
                <c:pt idx="24">
                  <c:v>11830.193050193047</c:v>
                </c:pt>
                <c:pt idx="25">
                  <c:v>11830.193050193047</c:v>
                </c:pt>
                <c:pt idx="26">
                  <c:v>13481.184041184039</c:v>
                </c:pt>
                <c:pt idx="27">
                  <c:v>18426.769626769623</c:v>
                </c:pt>
                <c:pt idx="28">
                  <c:v>18426.769626769623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0-DE4A-8BCB-C9033EB33241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360.14814814814815</c:v>
                </c:pt>
                <c:pt idx="2">
                  <c:v>4386.8148148148148</c:v>
                </c:pt>
                <c:pt idx="3">
                  <c:v>4461.6296296296296</c:v>
                </c:pt>
                <c:pt idx="4">
                  <c:v>4461.6296296296296</c:v>
                </c:pt>
                <c:pt idx="5">
                  <c:v>4461.6296296296296</c:v>
                </c:pt>
                <c:pt idx="6">
                  <c:v>4461.6296296296296</c:v>
                </c:pt>
                <c:pt idx="7">
                  <c:v>4461.6296296296296</c:v>
                </c:pt>
                <c:pt idx="8">
                  <c:v>4461.6296296296296</c:v>
                </c:pt>
                <c:pt idx="9">
                  <c:v>4461.6296296296296</c:v>
                </c:pt>
                <c:pt idx="10">
                  <c:v>8101.6296296296296</c:v>
                </c:pt>
                <c:pt idx="11">
                  <c:v>12612.740740740741</c:v>
                </c:pt>
                <c:pt idx="12">
                  <c:v>12800.888888888889</c:v>
                </c:pt>
                <c:pt idx="13">
                  <c:v>12800.888888888889</c:v>
                </c:pt>
                <c:pt idx="14">
                  <c:v>13966.382716049382</c:v>
                </c:pt>
                <c:pt idx="15">
                  <c:v>13966.382716049382</c:v>
                </c:pt>
                <c:pt idx="16">
                  <c:v>13966.382716049382</c:v>
                </c:pt>
                <c:pt idx="17">
                  <c:v>16655.271604938273</c:v>
                </c:pt>
                <c:pt idx="18">
                  <c:v>16655.271604938273</c:v>
                </c:pt>
                <c:pt idx="19">
                  <c:v>16655.271604938273</c:v>
                </c:pt>
                <c:pt idx="20">
                  <c:v>16655.271604938273</c:v>
                </c:pt>
                <c:pt idx="21">
                  <c:v>16655.271604938273</c:v>
                </c:pt>
                <c:pt idx="22">
                  <c:v>19017.077160493827</c:v>
                </c:pt>
                <c:pt idx="23">
                  <c:v>19017.077160493827</c:v>
                </c:pt>
                <c:pt idx="24">
                  <c:v>19017.077160493827</c:v>
                </c:pt>
                <c:pt idx="25">
                  <c:v>19017.077160493827</c:v>
                </c:pt>
                <c:pt idx="26">
                  <c:v>19017.077160493827</c:v>
                </c:pt>
                <c:pt idx="27">
                  <c:v>19017.077160493827</c:v>
                </c:pt>
                <c:pt idx="28">
                  <c:v>19017.077160493827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0-DE4A-8BCB-C9033EB33241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4617.2991452991446</c:v>
                </c:pt>
                <c:pt idx="2">
                  <c:v>5713.2991452991446</c:v>
                </c:pt>
                <c:pt idx="3">
                  <c:v>6020.1367521367511</c:v>
                </c:pt>
                <c:pt idx="4">
                  <c:v>7682.3589743589728</c:v>
                </c:pt>
                <c:pt idx="5">
                  <c:v>7682.3589743589728</c:v>
                </c:pt>
                <c:pt idx="6">
                  <c:v>7682.3589743589728</c:v>
                </c:pt>
                <c:pt idx="7">
                  <c:v>8875.9487179487169</c:v>
                </c:pt>
                <c:pt idx="8">
                  <c:v>9609.7948717948711</c:v>
                </c:pt>
                <c:pt idx="9">
                  <c:v>15476.461538461539</c:v>
                </c:pt>
                <c:pt idx="10">
                  <c:v>15476.461538461539</c:v>
                </c:pt>
                <c:pt idx="11">
                  <c:v>15476.461538461539</c:v>
                </c:pt>
                <c:pt idx="12">
                  <c:v>15476.461538461539</c:v>
                </c:pt>
                <c:pt idx="13">
                  <c:v>16253.897435897437</c:v>
                </c:pt>
                <c:pt idx="14">
                  <c:v>20994.068376068375</c:v>
                </c:pt>
                <c:pt idx="15">
                  <c:v>22155.606837606836</c:v>
                </c:pt>
                <c:pt idx="16">
                  <c:v>22155.606837606836</c:v>
                </c:pt>
                <c:pt idx="17">
                  <c:v>23266.422440443715</c:v>
                </c:pt>
                <c:pt idx="18">
                  <c:v>23266.422440443715</c:v>
                </c:pt>
                <c:pt idx="19">
                  <c:v>23266.422440443715</c:v>
                </c:pt>
                <c:pt idx="20">
                  <c:v>23266.422440443715</c:v>
                </c:pt>
                <c:pt idx="21">
                  <c:v>23266.422440443715</c:v>
                </c:pt>
                <c:pt idx="22">
                  <c:v>23910.039461720313</c:v>
                </c:pt>
                <c:pt idx="23">
                  <c:v>23910.039461720313</c:v>
                </c:pt>
                <c:pt idx="24">
                  <c:v>23910.039461720313</c:v>
                </c:pt>
                <c:pt idx="25">
                  <c:v>23910.039461720313</c:v>
                </c:pt>
                <c:pt idx="26">
                  <c:v>23910.039461720313</c:v>
                </c:pt>
                <c:pt idx="27">
                  <c:v>25143.195490089107</c:v>
                </c:pt>
                <c:pt idx="28">
                  <c:v>25143.195490089107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0-DE4A-8BCB-C9033EB33241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1066.6666666666667</c:v>
                </c:pt>
                <c:pt idx="2">
                  <c:v>1983.219512195122</c:v>
                </c:pt>
                <c:pt idx="3">
                  <c:v>2014.8780487804879</c:v>
                </c:pt>
                <c:pt idx="4">
                  <c:v>3840.4065040650407</c:v>
                </c:pt>
                <c:pt idx="5">
                  <c:v>3840.4065040650407</c:v>
                </c:pt>
                <c:pt idx="6">
                  <c:v>6622.1951219512193</c:v>
                </c:pt>
                <c:pt idx="7">
                  <c:v>6622.1951219512193</c:v>
                </c:pt>
                <c:pt idx="8">
                  <c:v>6622.1951219512193</c:v>
                </c:pt>
                <c:pt idx="9">
                  <c:v>7491.0298102981023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10790.571815718158</c:v>
                </c:pt>
                <c:pt idx="14">
                  <c:v>10790.571815718158</c:v>
                </c:pt>
                <c:pt idx="15">
                  <c:v>10790.571815718158</c:v>
                </c:pt>
                <c:pt idx="16">
                  <c:v>10790.571815718158</c:v>
                </c:pt>
                <c:pt idx="17">
                  <c:v>10790.571815718158</c:v>
                </c:pt>
                <c:pt idx="18">
                  <c:v>11283.227642276424</c:v>
                </c:pt>
                <c:pt idx="19">
                  <c:v>11283.227642276424</c:v>
                </c:pt>
                <c:pt idx="20">
                  <c:v>12849.406504065042</c:v>
                </c:pt>
                <c:pt idx="21">
                  <c:v>12849.406504065042</c:v>
                </c:pt>
                <c:pt idx="22">
                  <c:v>12849.406504065042</c:v>
                </c:pt>
                <c:pt idx="23">
                  <c:v>14119.867208672089</c:v>
                </c:pt>
                <c:pt idx="24">
                  <c:v>14403.810298102982</c:v>
                </c:pt>
                <c:pt idx="25">
                  <c:v>14403.810298102982</c:v>
                </c:pt>
                <c:pt idx="26">
                  <c:v>14403.810298102982</c:v>
                </c:pt>
                <c:pt idx="27">
                  <c:v>14403.810298102982</c:v>
                </c:pt>
                <c:pt idx="28">
                  <c:v>14403.810298102982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0-DE4A-8BCB-C9033EB33241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914.90909090909088</c:v>
                </c:pt>
                <c:pt idx="10">
                  <c:v>7725.4141414141423</c:v>
                </c:pt>
                <c:pt idx="11">
                  <c:v>9230.4646464646466</c:v>
                </c:pt>
                <c:pt idx="12">
                  <c:v>11176.996632996634</c:v>
                </c:pt>
                <c:pt idx="13">
                  <c:v>11176.996632996634</c:v>
                </c:pt>
                <c:pt idx="14">
                  <c:v>11176.996632996634</c:v>
                </c:pt>
                <c:pt idx="15">
                  <c:v>11176.996632996634</c:v>
                </c:pt>
                <c:pt idx="16">
                  <c:v>17976.794612794612</c:v>
                </c:pt>
                <c:pt idx="17">
                  <c:v>17976.794612794612</c:v>
                </c:pt>
                <c:pt idx="18">
                  <c:v>17976.794612794612</c:v>
                </c:pt>
                <c:pt idx="19">
                  <c:v>18134.202020202021</c:v>
                </c:pt>
                <c:pt idx="20">
                  <c:v>18817.208556149733</c:v>
                </c:pt>
                <c:pt idx="21">
                  <c:v>18817.208556149733</c:v>
                </c:pt>
                <c:pt idx="22">
                  <c:v>18817.208556149733</c:v>
                </c:pt>
                <c:pt idx="23">
                  <c:v>18817.208556149733</c:v>
                </c:pt>
                <c:pt idx="24">
                  <c:v>18817.208556149733</c:v>
                </c:pt>
                <c:pt idx="25">
                  <c:v>18817.208556149733</c:v>
                </c:pt>
                <c:pt idx="26">
                  <c:v>18817.208556149733</c:v>
                </c:pt>
                <c:pt idx="27">
                  <c:v>18817.208556149733</c:v>
                </c:pt>
                <c:pt idx="28">
                  <c:v>18817.208556149733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0-DE4A-8BCB-C9033EB33241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526.15384615384619</c:v>
                </c:pt>
                <c:pt idx="7">
                  <c:v>5008.2051282051289</c:v>
                </c:pt>
                <c:pt idx="8">
                  <c:v>5008.2051282051289</c:v>
                </c:pt>
                <c:pt idx="9">
                  <c:v>5192.8205128205136</c:v>
                </c:pt>
                <c:pt idx="10">
                  <c:v>8032.6495726495732</c:v>
                </c:pt>
                <c:pt idx="11">
                  <c:v>8448.0341880341894</c:v>
                </c:pt>
                <c:pt idx="12">
                  <c:v>13158.290598290598</c:v>
                </c:pt>
                <c:pt idx="13">
                  <c:v>13158.290598290598</c:v>
                </c:pt>
                <c:pt idx="14">
                  <c:v>13158.290598290598</c:v>
                </c:pt>
                <c:pt idx="15">
                  <c:v>16471.111111111109</c:v>
                </c:pt>
                <c:pt idx="16">
                  <c:v>18383.931623931621</c:v>
                </c:pt>
                <c:pt idx="17">
                  <c:v>18383.931623931621</c:v>
                </c:pt>
                <c:pt idx="18">
                  <c:v>18383.931623931621</c:v>
                </c:pt>
                <c:pt idx="19">
                  <c:v>18383.931623931621</c:v>
                </c:pt>
                <c:pt idx="20">
                  <c:v>18383.931623931621</c:v>
                </c:pt>
                <c:pt idx="21">
                  <c:v>18951.111111111109</c:v>
                </c:pt>
                <c:pt idx="22">
                  <c:v>18951.111111111109</c:v>
                </c:pt>
                <c:pt idx="23">
                  <c:v>18951.111111111109</c:v>
                </c:pt>
                <c:pt idx="24">
                  <c:v>18951.111111111109</c:v>
                </c:pt>
                <c:pt idx="25">
                  <c:v>18951.111111111109</c:v>
                </c:pt>
                <c:pt idx="26">
                  <c:v>18951.111111111109</c:v>
                </c:pt>
                <c:pt idx="27">
                  <c:v>18951.111111111109</c:v>
                </c:pt>
                <c:pt idx="28">
                  <c:v>18951.111111111109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0-DE4A-8BCB-C9033EB33241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1994.3859649122805</c:v>
                </c:pt>
                <c:pt idx="7">
                  <c:v>1994.3859649122805</c:v>
                </c:pt>
                <c:pt idx="8">
                  <c:v>1994.3859649122805</c:v>
                </c:pt>
                <c:pt idx="9">
                  <c:v>2962.1052631578946</c:v>
                </c:pt>
                <c:pt idx="10">
                  <c:v>6552.6315789473683</c:v>
                </c:pt>
                <c:pt idx="11">
                  <c:v>9232.6315789473683</c:v>
                </c:pt>
                <c:pt idx="12">
                  <c:v>10831.929824561405</c:v>
                </c:pt>
                <c:pt idx="13">
                  <c:v>10831.929824561405</c:v>
                </c:pt>
                <c:pt idx="14">
                  <c:v>10831.929824561405</c:v>
                </c:pt>
                <c:pt idx="15">
                  <c:v>10831.929824561405</c:v>
                </c:pt>
                <c:pt idx="16">
                  <c:v>11824.619883040938</c:v>
                </c:pt>
                <c:pt idx="17">
                  <c:v>11824.619883040938</c:v>
                </c:pt>
                <c:pt idx="18">
                  <c:v>13778.786549707604</c:v>
                </c:pt>
                <c:pt idx="19">
                  <c:v>13778.786549707604</c:v>
                </c:pt>
                <c:pt idx="20">
                  <c:v>13778.786549707604</c:v>
                </c:pt>
                <c:pt idx="21">
                  <c:v>13778.786549707604</c:v>
                </c:pt>
                <c:pt idx="22">
                  <c:v>18686.681286549709</c:v>
                </c:pt>
                <c:pt idx="23">
                  <c:v>18686.681286549709</c:v>
                </c:pt>
                <c:pt idx="24">
                  <c:v>18686.681286549709</c:v>
                </c:pt>
                <c:pt idx="25">
                  <c:v>18686.681286549709</c:v>
                </c:pt>
                <c:pt idx="26">
                  <c:v>18686.681286549709</c:v>
                </c:pt>
                <c:pt idx="27">
                  <c:v>18686.681286549709</c:v>
                </c:pt>
                <c:pt idx="28">
                  <c:v>18686.681286549709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0-DE4A-8BCB-C9033EB33241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1470.5128205128203</c:v>
                </c:pt>
                <c:pt idx="7">
                  <c:v>1470.5128205128203</c:v>
                </c:pt>
                <c:pt idx="8">
                  <c:v>1470.5128205128203</c:v>
                </c:pt>
                <c:pt idx="9">
                  <c:v>1470.5128205128203</c:v>
                </c:pt>
                <c:pt idx="10">
                  <c:v>1470.5128205128203</c:v>
                </c:pt>
                <c:pt idx="11">
                  <c:v>1470.5128205128203</c:v>
                </c:pt>
                <c:pt idx="12">
                  <c:v>1470.5128205128203</c:v>
                </c:pt>
                <c:pt idx="13">
                  <c:v>1470.5128205128203</c:v>
                </c:pt>
                <c:pt idx="14">
                  <c:v>1470.5128205128203</c:v>
                </c:pt>
                <c:pt idx="15">
                  <c:v>1470.5128205128203</c:v>
                </c:pt>
                <c:pt idx="16">
                  <c:v>1470.5128205128203</c:v>
                </c:pt>
                <c:pt idx="17">
                  <c:v>6208.0512820512822</c:v>
                </c:pt>
                <c:pt idx="18">
                  <c:v>6299.3974358974365</c:v>
                </c:pt>
                <c:pt idx="19">
                  <c:v>6299.3974358974365</c:v>
                </c:pt>
                <c:pt idx="20">
                  <c:v>6299.3974358974365</c:v>
                </c:pt>
                <c:pt idx="21">
                  <c:v>9704.5256410256407</c:v>
                </c:pt>
                <c:pt idx="22">
                  <c:v>9704.5256410256407</c:v>
                </c:pt>
                <c:pt idx="23">
                  <c:v>9704.5256410256407</c:v>
                </c:pt>
                <c:pt idx="24">
                  <c:v>9704.5256410256407</c:v>
                </c:pt>
                <c:pt idx="25">
                  <c:v>9704.5256410256407</c:v>
                </c:pt>
                <c:pt idx="26">
                  <c:v>9704.5256410256407</c:v>
                </c:pt>
                <c:pt idx="27">
                  <c:v>13538.371794871795</c:v>
                </c:pt>
                <c:pt idx="28">
                  <c:v>13538.371794871795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0-DE4A-8BCB-C9033EB33241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2497.939393939394</c:v>
                </c:pt>
                <c:pt idx="5">
                  <c:v>2497.939393939394</c:v>
                </c:pt>
                <c:pt idx="6">
                  <c:v>2497.939393939394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18029.777777777777</c:v>
                </c:pt>
                <c:pt idx="13">
                  <c:v>18029.777777777777</c:v>
                </c:pt>
                <c:pt idx="14">
                  <c:v>18144.255892255893</c:v>
                </c:pt>
                <c:pt idx="15">
                  <c:v>18144.255892255893</c:v>
                </c:pt>
                <c:pt idx="16">
                  <c:v>18144.255892255893</c:v>
                </c:pt>
                <c:pt idx="17">
                  <c:v>18144.255892255893</c:v>
                </c:pt>
                <c:pt idx="18">
                  <c:v>18144.255892255893</c:v>
                </c:pt>
                <c:pt idx="19">
                  <c:v>18144.255892255893</c:v>
                </c:pt>
                <c:pt idx="20">
                  <c:v>18144.255892255893</c:v>
                </c:pt>
                <c:pt idx="21">
                  <c:v>18144.255892255893</c:v>
                </c:pt>
                <c:pt idx="22">
                  <c:v>18144.255892255893</c:v>
                </c:pt>
                <c:pt idx="23">
                  <c:v>18144.255892255893</c:v>
                </c:pt>
                <c:pt idx="24">
                  <c:v>20022.893885087433</c:v>
                </c:pt>
                <c:pt idx="25">
                  <c:v>20022.893885087433</c:v>
                </c:pt>
                <c:pt idx="26">
                  <c:v>20022.893885087433</c:v>
                </c:pt>
                <c:pt idx="27">
                  <c:v>21609.811447811448</c:v>
                </c:pt>
                <c:pt idx="28">
                  <c:v>21609.811447811448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00-DE4A-8BCB-C9033EB33241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11.538461538461538</c:v>
                </c:pt>
                <c:pt idx="4">
                  <c:v>4521.8974358974365</c:v>
                </c:pt>
                <c:pt idx="5">
                  <c:v>4693.8290598290605</c:v>
                </c:pt>
                <c:pt idx="6">
                  <c:v>5757.4188034188046</c:v>
                </c:pt>
                <c:pt idx="7">
                  <c:v>6454.8547008547021</c:v>
                </c:pt>
                <c:pt idx="8">
                  <c:v>6519.9096459096472</c:v>
                </c:pt>
                <c:pt idx="9">
                  <c:v>8276.3199023199031</c:v>
                </c:pt>
                <c:pt idx="10">
                  <c:v>11031.191697191698</c:v>
                </c:pt>
                <c:pt idx="11">
                  <c:v>11031.191697191698</c:v>
                </c:pt>
                <c:pt idx="12">
                  <c:v>11031.191697191698</c:v>
                </c:pt>
                <c:pt idx="13">
                  <c:v>11031.191697191698</c:v>
                </c:pt>
                <c:pt idx="14">
                  <c:v>11031.191697191698</c:v>
                </c:pt>
                <c:pt idx="15">
                  <c:v>12338.884004884007</c:v>
                </c:pt>
                <c:pt idx="16">
                  <c:v>12871.647537647539</c:v>
                </c:pt>
                <c:pt idx="17">
                  <c:v>17210.109076109078</c:v>
                </c:pt>
                <c:pt idx="18">
                  <c:v>17210.109076109078</c:v>
                </c:pt>
                <c:pt idx="19">
                  <c:v>17210.109076109078</c:v>
                </c:pt>
                <c:pt idx="20">
                  <c:v>17379.134717134719</c:v>
                </c:pt>
                <c:pt idx="21">
                  <c:v>17379.134717134719</c:v>
                </c:pt>
                <c:pt idx="22">
                  <c:v>17379.134717134719</c:v>
                </c:pt>
                <c:pt idx="23">
                  <c:v>17379.134717134719</c:v>
                </c:pt>
                <c:pt idx="24">
                  <c:v>17379.134717134719</c:v>
                </c:pt>
                <c:pt idx="25">
                  <c:v>17379.134717134719</c:v>
                </c:pt>
                <c:pt idx="26">
                  <c:v>17379.134717134719</c:v>
                </c:pt>
                <c:pt idx="27">
                  <c:v>17379.134717134719</c:v>
                </c:pt>
                <c:pt idx="28">
                  <c:v>17379.134717134719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0-DE4A-8BCB-C9033EB33241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4173.333333333333</c:v>
                </c:pt>
                <c:pt idx="5">
                  <c:v>4406.3703703703704</c:v>
                </c:pt>
                <c:pt idx="6">
                  <c:v>4406.3703703703704</c:v>
                </c:pt>
                <c:pt idx="7">
                  <c:v>4406.3703703703704</c:v>
                </c:pt>
                <c:pt idx="8">
                  <c:v>4406.3703703703704</c:v>
                </c:pt>
                <c:pt idx="9">
                  <c:v>4930.8148148148148</c:v>
                </c:pt>
                <c:pt idx="10">
                  <c:v>5467.8518518518522</c:v>
                </c:pt>
                <c:pt idx="11">
                  <c:v>5641.1851851851852</c:v>
                </c:pt>
                <c:pt idx="12">
                  <c:v>5641.1851851851852</c:v>
                </c:pt>
                <c:pt idx="13">
                  <c:v>5641.1851851851852</c:v>
                </c:pt>
                <c:pt idx="14">
                  <c:v>5641.1851851851852</c:v>
                </c:pt>
                <c:pt idx="15">
                  <c:v>6527.8518518518522</c:v>
                </c:pt>
                <c:pt idx="16">
                  <c:v>6527.8518518518522</c:v>
                </c:pt>
                <c:pt idx="17">
                  <c:v>6527.8518518518522</c:v>
                </c:pt>
                <c:pt idx="18">
                  <c:v>6527.8518518518522</c:v>
                </c:pt>
                <c:pt idx="19">
                  <c:v>6527.8518518518522</c:v>
                </c:pt>
                <c:pt idx="20">
                  <c:v>6632.2962962962965</c:v>
                </c:pt>
                <c:pt idx="21">
                  <c:v>8362.6666666666679</c:v>
                </c:pt>
                <c:pt idx="22">
                  <c:v>11372.666666666668</c:v>
                </c:pt>
                <c:pt idx="23">
                  <c:v>11372.666666666668</c:v>
                </c:pt>
                <c:pt idx="24">
                  <c:v>14954.888888888891</c:v>
                </c:pt>
                <c:pt idx="25">
                  <c:v>14954.888888888891</c:v>
                </c:pt>
                <c:pt idx="26">
                  <c:v>14954.888888888891</c:v>
                </c:pt>
                <c:pt idx="27">
                  <c:v>14954.888888888891</c:v>
                </c:pt>
                <c:pt idx="28">
                  <c:v>14954.888888888891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00-DE4A-8BCB-C9033EB33241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27.513227513227516</c:v>
                </c:pt>
                <c:pt idx="4">
                  <c:v>366.56084656084653</c:v>
                </c:pt>
                <c:pt idx="5">
                  <c:v>2486.5608465608466</c:v>
                </c:pt>
                <c:pt idx="6">
                  <c:v>2859.4179894179892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9393.2275132275136</c:v>
                </c:pt>
                <c:pt idx="10">
                  <c:v>10255.727513227514</c:v>
                </c:pt>
                <c:pt idx="11">
                  <c:v>11749.060846560847</c:v>
                </c:pt>
                <c:pt idx="12">
                  <c:v>16021.759259259259</c:v>
                </c:pt>
                <c:pt idx="13">
                  <c:v>16391.600529100528</c:v>
                </c:pt>
                <c:pt idx="14">
                  <c:v>16391.600529100528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17725.965608465605</c:v>
                </c:pt>
                <c:pt idx="18">
                  <c:v>17725.965608465605</c:v>
                </c:pt>
                <c:pt idx="19">
                  <c:v>17725.965608465605</c:v>
                </c:pt>
                <c:pt idx="20">
                  <c:v>18471.679894179892</c:v>
                </c:pt>
                <c:pt idx="21">
                  <c:v>18471.679894179892</c:v>
                </c:pt>
                <c:pt idx="22">
                  <c:v>18471.679894179892</c:v>
                </c:pt>
                <c:pt idx="23">
                  <c:v>18471.679894179892</c:v>
                </c:pt>
                <c:pt idx="24">
                  <c:v>18471.679894179892</c:v>
                </c:pt>
                <c:pt idx="25">
                  <c:v>18471.679894179892</c:v>
                </c:pt>
                <c:pt idx="26">
                  <c:v>18471.679894179892</c:v>
                </c:pt>
                <c:pt idx="27">
                  <c:v>18471.679894179892</c:v>
                </c:pt>
                <c:pt idx="28">
                  <c:v>18471.679894179892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0-DE4A-8BCB-C9033EB3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693000"/>
        <c:axId val="-1992809752"/>
      </c:lineChart>
      <c:dateAx>
        <c:axId val="-19926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2809752"/>
        <c:crosses val="autoZero"/>
        <c:auto val="1"/>
        <c:lblOffset val="100"/>
        <c:baseTimeUnit val="days"/>
      </c:dateAx>
      <c:valAx>
        <c:axId val="-199280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693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61"/>
  <sheetViews>
    <sheetView showRuler="0" topLeftCell="Q1" workbookViewId="0">
      <selection activeCell="T23" sqref="T23"/>
    </sheetView>
  </sheetViews>
  <sheetFormatPr baseColWidth="10" defaultRowHeight="16" x14ac:dyDescent="0.2"/>
  <cols>
    <col min="1" max="1" width="12.1640625" style="34" customWidth="1"/>
    <col min="2" max="2" width="13" style="34" customWidth="1"/>
    <col min="3" max="3" width="6.83203125" style="34" customWidth="1"/>
    <col min="4" max="4" width="9.6640625" style="45" customWidth="1"/>
    <col min="5" max="5" width="15.1640625" style="34" customWidth="1"/>
    <col min="6" max="6" width="13.1640625" style="30" customWidth="1"/>
    <col min="7" max="7" width="10.83203125" style="29" customWidth="1"/>
    <col min="8" max="9" width="10.5" style="29" customWidth="1"/>
    <col min="10" max="13" width="10.33203125" style="29" customWidth="1"/>
    <col min="14" max="16" width="10.33203125" style="72" customWidth="1"/>
    <col min="17" max="17" width="10.6640625" style="31" customWidth="1"/>
    <col min="18" max="18" width="12.5" style="31" customWidth="1"/>
    <col min="19" max="19" width="13.5" style="30" customWidth="1"/>
    <col min="20" max="20" width="13.5" style="29" customWidth="1"/>
    <col min="21" max="21" width="16.33203125" style="31" customWidth="1"/>
    <col min="22" max="22" width="11.6640625" style="31" customWidth="1"/>
    <col min="23" max="23" width="14.1640625" style="31" customWidth="1"/>
    <col min="24" max="24" width="69.83203125" style="32" customWidth="1"/>
    <col min="25" max="16384" width="10.83203125" style="29"/>
  </cols>
  <sheetData>
    <row r="1" spans="1:24" s="36" customFormat="1" ht="91" customHeight="1" x14ac:dyDescent="0.25">
      <c r="A1" s="35" t="s">
        <v>14</v>
      </c>
      <c r="B1" s="35" t="s">
        <v>1</v>
      </c>
      <c r="C1" s="35" t="s">
        <v>394</v>
      </c>
      <c r="D1" s="43" t="s">
        <v>21</v>
      </c>
      <c r="E1" s="35" t="s">
        <v>24</v>
      </c>
      <c r="F1" s="37" t="s">
        <v>15</v>
      </c>
      <c r="G1" s="36" t="s">
        <v>16</v>
      </c>
      <c r="H1" s="36" t="s">
        <v>30</v>
      </c>
      <c r="I1" s="36" t="s">
        <v>31</v>
      </c>
      <c r="J1" s="36" t="s">
        <v>32</v>
      </c>
      <c r="K1" s="36" t="s">
        <v>33</v>
      </c>
      <c r="L1" s="36" t="s">
        <v>34</v>
      </c>
      <c r="M1" s="36" t="s">
        <v>35</v>
      </c>
      <c r="N1" s="69" t="s">
        <v>102</v>
      </c>
      <c r="O1" s="69" t="s">
        <v>103</v>
      </c>
      <c r="P1" s="69" t="s">
        <v>104</v>
      </c>
      <c r="Q1" s="38" t="s">
        <v>40</v>
      </c>
      <c r="R1" s="38" t="s">
        <v>17</v>
      </c>
      <c r="S1" s="37" t="s">
        <v>22</v>
      </c>
      <c r="T1" s="36" t="s">
        <v>18</v>
      </c>
      <c r="U1" s="38" t="s">
        <v>19</v>
      </c>
      <c r="V1" s="38" t="s">
        <v>53</v>
      </c>
      <c r="W1" s="38" t="s">
        <v>129</v>
      </c>
      <c r="X1" s="39" t="s">
        <v>23</v>
      </c>
    </row>
    <row r="2" spans="1:24" s="23" customFormat="1" x14ac:dyDescent="0.2">
      <c r="A2" s="22">
        <v>43189</v>
      </c>
      <c r="B2" s="22" t="s">
        <v>28</v>
      </c>
      <c r="C2" s="22" t="s">
        <v>312</v>
      </c>
      <c r="D2" s="40" t="s">
        <v>68</v>
      </c>
      <c r="E2" s="22" t="s">
        <v>112</v>
      </c>
      <c r="F2" s="24">
        <v>1</v>
      </c>
      <c r="G2" s="23">
        <v>820</v>
      </c>
      <c r="H2" s="25">
        <v>256</v>
      </c>
      <c r="I2" s="25">
        <v>31</v>
      </c>
      <c r="J2" s="23">
        <v>252</v>
      </c>
      <c r="K2" s="23">
        <v>8</v>
      </c>
      <c r="L2" s="23">
        <v>254</v>
      </c>
      <c r="M2" s="23">
        <v>2</v>
      </c>
      <c r="N2" s="25">
        <f>H2+I2</f>
        <v>287</v>
      </c>
      <c r="O2" s="23">
        <f>J2+K2</f>
        <v>260</v>
      </c>
      <c r="P2" s="23">
        <f>L2+M2</f>
        <v>256</v>
      </c>
      <c r="Q2" s="26">
        <f>AVERAGE(N2:P2)/F2</f>
        <v>267.66666666666669</v>
      </c>
      <c r="R2" s="26">
        <f>Q2*G2</f>
        <v>219486.66666666669</v>
      </c>
      <c r="S2" s="24">
        <f>800/Q2</f>
        <v>2.9887920298879203</v>
      </c>
      <c r="T2" s="74"/>
      <c r="U2" s="26">
        <f>R2-(S2*Q2*3)</f>
        <v>217086.66666666669</v>
      </c>
      <c r="V2" s="26">
        <v>1</v>
      </c>
      <c r="W2" s="26"/>
      <c r="X2" s="28"/>
    </row>
    <row r="3" spans="1:24" s="23" customFormat="1" x14ac:dyDescent="0.2">
      <c r="A3" s="22">
        <v>43189</v>
      </c>
      <c r="B3" s="22" t="s">
        <v>29</v>
      </c>
      <c r="C3" s="22" t="s">
        <v>312</v>
      </c>
      <c r="D3" s="40" t="s">
        <v>119</v>
      </c>
      <c r="E3" s="22" t="s">
        <v>112</v>
      </c>
      <c r="F3" s="24">
        <v>1</v>
      </c>
      <c r="G3" s="23">
        <v>440</v>
      </c>
      <c r="H3" s="25">
        <v>130</v>
      </c>
      <c r="I3" s="25">
        <v>32</v>
      </c>
      <c r="J3" s="23">
        <v>108</v>
      </c>
      <c r="K3" s="23">
        <v>27</v>
      </c>
      <c r="L3" s="23">
        <v>137</v>
      </c>
      <c r="M3" s="23">
        <v>8</v>
      </c>
      <c r="N3" s="70">
        <f>H3+I3</f>
        <v>162</v>
      </c>
      <c r="O3" s="71">
        <f>J3+K3</f>
        <v>135</v>
      </c>
      <c r="P3" s="71">
        <f>L3+M3</f>
        <v>145</v>
      </c>
      <c r="Q3" s="26">
        <f>AVERAGE(N3:P3)/F3</f>
        <v>147.33333333333334</v>
      </c>
      <c r="R3" s="26">
        <f>Q3*G3</f>
        <v>64826.666666666672</v>
      </c>
      <c r="S3" s="24">
        <f>800/Q3</f>
        <v>5.4298642533936645</v>
      </c>
      <c r="T3" s="74"/>
      <c r="U3" s="26">
        <f>R3-(S3*Q3*3)</f>
        <v>62426.666666666672</v>
      </c>
      <c r="V3" s="26">
        <v>2</v>
      </c>
      <c r="W3" s="26"/>
      <c r="X3" s="28"/>
    </row>
    <row r="4" spans="1:24" s="23" customFormat="1" x14ac:dyDescent="0.2">
      <c r="A4" s="22">
        <v>43189</v>
      </c>
      <c r="B4" s="22" t="s">
        <v>28</v>
      </c>
      <c r="C4" s="22" t="s">
        <v>311</v>
      </c>
      <c r="D4" s="40" t="s">
        <v>77</v>
      </c>
      <c r="E4" s="22" t="s">
        <v>52</v>
      </c>
      <c r="F4" s="24">
        <v>1</v>
      </c>
      <c r="G4" s="23">
        <v>500</v>
      </c>
      <c r="H4" s="23">
        <v>231</v>
      </c>
      <c r="I4" s="23">
        <v>5</v>
      </c>
      <c r="J4" s="23">
        <v>265</v>
      </c>
      <c r="K4" s="23">
        <v>4</v>
      </c>
      <c r="L4" s="23">
        <v>238</v>
      </c>
      <c r="M4" s="23">
        <v>4</v>
      </c>
      <c r="N4" s="70">
        <f>H4+I4</f>
        <v>236</v>
      </c>
      <c r="O4" s="71">
        <f>J4+K4</f>
        <v>269</v>
      </c>
      <c r="P4" s="71">
        <f>L4+M4</f>
        <v>242</v>
      </c>
      <c r="Q4" s="26">
        <f>AVERAGE(N4:P4)/F4</f>
        <v>249</v>
      </c>
      <c r="R4" s="26">
        <f>Q4*G4</f>
        <v>124500</v>
      </c>
      <c r="S4" s="24">
        <f>800/Q4</f>
        <v>3.2128514056224899</v>
      </c>
      <c r="T4" s="27"/>
      <c r="U4" s="26">
        <f>R4-(S4*Q4*3)</f>
        <v>122100</v>
      </c>
      <c r="V4" s="26">
        <v>3</v>
      </c>
      <c r="W4" s="26"/>
      <c r="X4" s="28"/>
    </row>
    <row r="5" spans="1:24" s="23" customFormat="1" x14ac:dyDescent="0.2">
      <c r="A5" s="22">
        <v>43189</v>
      </c>
      <c r="B5" s="22" t="s">
        <v>36</v>
      </c>
      <c r="C5" s="22" t="s">
        <v>312</v>
      </c>
      <c r="D5" s="98" t="s">
        <v>42</v>
      </c>
      <c r="E5" s="22" t="s">
        <v>136</v>
      </c>
      <c r="F5" s="24">
        <v>0.3</v>
      </c>
      <c r="G5" s="23">
        <v>820</v>
      </c>
      <c r="H5" s="23">
        <v>79</v>
      </c>
      <c r="I5" s="23">
        <v>13</v>
      </c>
      <c r="J5" s="23">
        <v>67</v>
      </c>
      <c r="K5" s="23">
        <v>6</v>
      </c>
      <c r="L5" s="23">
        <v>74</v>
      </c>
      <c r="M5" s="23">
        <v>1</v>
      </c>
      <c r="N5" s="25">
        <f>H5+I5</f>
        <v>92</v>
      </c>
      <c r="O5" s="23">
        <f>J5+K5</f>
        <v>73</v>
      </c>
      <c r="P5" s="23">
        <f>L5+M5</f>
        <v>75</v>
      </c>
      <c r="Q5" s="26">
        <f>AVERAGE(N5:P5)/F5</f>
        <v>266.66666666666669</v>
      </c>
      <c r="R5" s="26">
        <f>Q5*G5</f>
        <v>218666.66666666669</v>
      </c>
      <c r="S5" s="24">
        <f>800/Q5</f>
        <v>3</v>
      </c>
      <c r="T5" s="27"/>
      <c r="U5" s="26">
        <f>R5-(S5*Q5*3)</f>
        <v>216266.66666666669</v>
      </c>
      <c r="V5" s="26">
        <v>4</v>
      </c>
      <c r="W5" s="26"/>
      <c r="X5" s="28"/>
    </row>
    <row r="6" spans="1:24" s="23" customFormat="1" x14ac:dyDescent="0.2">
      <c r="A6" s="22">
        <v>43189</v>
      </c>
      <c r="B6" s="22" t="s">
        <v>36</v>
      </c>
      <c r="C6" s="22" t="s">
        <v>311</v>
      </c>
      <c r="D6" s="40" t="s">
        <v>38</v>
      </c>
      <c r="E6" s="22" t="s">
        <v>136</v>
      </c>
      <c r="F6" s="24">
        <v>0.25</v>
      </c>
      <c r="G6" s="23">
        <v>920</v>
      </c>
      <c r="H6" s="23">
        <v>241</v>
      </c>
      <c r="I6" s="23">
        <v>2</v>
      </c>
      <c r="J6" s="23">
        <v>259</v>
      </c>
      <c r="K6" s="23">
        <v>0</v>
      </c>
      <c r="L6" s="23">
        <v>227</v>
      </c>
      <c r="M6" s="23">
        <v>5</v>
      </c>
      <c r="N6" s="25">
        <f>H6+I6</f>
        <v>243</v>
      </c>
      <c r="O6" s="23">
        <f>J6+K6</f>
        <v>259</v>
      </c>
      <c r="P6" s="23">
        <f>L6+M6</f>
        <v>232</v>
      </c>
      <c r="Q6" s="26">
        <f>AVERAGE(N6:P6)/F6</f>
        <v>978.66666666666663</v>
      </c>
      <c r="R6" s="26">
        <f>Q6*G6</f>
        <v>900373.33333333326</v>
      </c>
      <c r="S6" s="24">
        <f>800/Q6</f>
        <v>0.81743869209809272</v>
      </c>
      <c r="T6" s="27"/>
      <c r="U6" s="26">
        <f>R6-(S6*Q6*3)</f>
        <v>897973.33333333326</v>
      </c>
      <c r="V6" s="26">
        <v>5</v>
      </c>
      <c r="W6" s="26">
        <v>2</v>
      </c>
      <c r="X6" s="28" t="s">
        <v>54</v>
      </c>
    </row>
    <row r="7" spans="1:24" s="23" customFormat="1" x14ac:dyDescent="0.2">
      <c r="A7" s="22">
        <v>43189</v>
      </c>
      <c r="B7" s="22" t="s">
        <v>37</v>
      </c>
      <c r="C7" s="22" t="s">
        <v>312</v>
      </c>
      <c r="D7" s="40" t="s">
        <v>39</v>
      </c>
      <c r="E7" s="22" t="s">
        <v>136</v>
      </c>
      <c r="F7" s="24">
        <v>0.5</v>
      </c>
      <c r="G7" s="23">
        <v>480</v>
      </c>
      <c r="H7" s="23">
        <v>64</v>
      </c>
      <c r="I7" s="23">
        <v>16</v>
      </c>
      <c r="J7" s="23">
        <v>63</v>
      </c>
      <c r="K7" s="23">
        <v>5</v>
      </c>
      <c r="L7" s="23">
        <v>57</v>
      </c>
      <c r="M7" s="23">
        <v>4</v>
      </c>
      <c r="N7" s="25">
        <f>H7+I7</f>
        <v>80</v>
      </c>
      <c r="O7" s="23">
        <f>J7+K7</f>
        <v>68</v>
      </c>
      <c r="P7" s="23">
        <f>L7+M7</f>
        <v>61</v>
      </c>
      <c r="Q7" s="26">
        <f>AVERAGE(N7:P7)/F7</f>
        <v>139.33333333333334</v>
      </c>
      <c r="R7" s="26">
        <f>Q7*G7</f>
        <v>66880</v>
      </c>
      <c r="S7" s="24">
        <f>800/Q7</f>
        <v>5.741626794258373</v>
      </c>
      <c r="T7" s="27"/>
      <c r="U7" s="26">
        <f>R7-(S7*Q7*3)</f>
        <v>64480</v>
      </c>
      <c r="V7" s="26">
        <v>6</v>
      </c>
      <c r="W7" s="26"/>
      <c r="X7" s="28"/>
    </row>
    <row r="8" spans="1:24" s="55" customFormat="1" x14ac:dyDescent="0.2">
      <c r="A8" s="200">
        <v>43190</v>
      </c>
      <c r="B8" s="52" t="s">
        <v>29</v>
      </c>
      <c r="C8" s="52" t="s">
        <v>312</v>
      </c>
      <c r="D8" s="53" t="s">
        <v>119</v>
      </c>
      <c r="E8" s="52" t="s">
        <v>47</v>
      </c>
      <c r="F8" s="54">
        <v>0.25</v>
      </c>
      <c r="G8" s="55">
        <v>900</v>
      </c>
      <c r="H8" s="55">
        <v>191</v>
      </c>
      <c r="I8" s="55">
        <v>8</v>
      </c>
      <c r="J8" s="55">
        <v>196</v>
      </c>
      <c r="K8" s="55">
        <v>7</v>
      </c>
      <c r="L8" s="55">
        <v>198</v>
      </c>
      <c r="M8" s="55">
        <v>4</v>
      </c>
      <c r="N8" s="125">
        <f>H8+I8</f>
        <v>199</v>
      </c>
      <c r="O8" s="55">
        <f>J8+K8</f>
        <v>203</v>
      </c>
      <c r="P8" s="55">
        <f>L8+M8</f>
        <v>202</v>
      </c>
      <c r="Q8" s="56">
        <f>AVERAGE(N8:P8)/F8</f>
        <v>805.33333333333337</v>
      </c>
      <c r="R8" s="56">
        <f>Q8*G8</f>
        <v>724800</v>
      </c>
      <c r="S8" s="54">
        <f>800/Q8</f>
        <v>0.99337748344370858</v>
      </c>
      <c r="T8" s="57">
        <f>1.03*Q8</f>
        <v>829.49333333333334</v>
      </c>
      <c r="U8" s="56">
        <f>R8-(S8*Q8*3)</f>
        <v>722400</v>
      </c>
      <c r="V8" s="56">
        <v>7</v>
      </c>
      <c r="W8" s="56">
        <v>2</v>
      </c>
      <c r="X8" s="58" t="s">
        <v>55</v>
      </c>
    </row>
    <row r="9" spans="1:24" s="55" customFormat="1" x14ac:dyDescent="0.2">
      <c r="A9" s="124">
        <v>43190</v>
      </c>
      <c r="B9" s="52" t="s">
        <v>36</v>
      </c>
      <c r="C9" s="52" t="s">
        <v>312</v>
      </c>
      <c r="D9" s="53" t="s">
        <v>42</v>
      </c>
      <c r="E9" s="52" t="s">
        <v>52</v>
      </c>
      <c r="F9" s="54">
        <v>0.25</v>
      </c>
      <c r="G9" s="55">
        <v>520</v>
      </c>
      <c r="H9" s="55">
        <v>87</v>
      </c>
      <c r="I9" s="55">
        <v>13</v>
      </c>
      <c r="J9" s="55">
        <v>88</v>
      </c>
      <c r="K9" s="55">
        <v>10</v>
      </c>
      <c r="L9" s="55">
        <v>64</v>
      </c>
      <c r="M9" s="55">
        <v>9</v>
      </c>
      <c r="N9" s="125">
        <f>H9+I9</f>
        <v>100</v>
      </c>
      <c r="O9" s="55">
        <f>J9+K9</f>
        <v>98</v>
      </c>
      <c r="P9" s="55">
        <f>L9+M9</f>
        <v>73</v>
      </c>
      <c r="Q9" s="56">
        <f>AVERAGE(N9:P9)/F9</f>
        <v>361.33333333333331</v>
      </c>
      <c r="R9" s="56">
        <f>Q9*G9</f>
        <v>187893.33333333331</v>
      </c>
      <c r="S9" s="54">
        <f>800/Q9</f>
        <v>2.2140221402214024</v>
      </c>
      <c r="T9" s="57"/>
      <c r="U9" s="56">
        <f>R9-(S9*Q9*3)</f>
        <v>185493.33333333331</v>
      </c>
      <c r="V9" s="56">
        <v>8</v>
      </c>
      <c r="W9" s="56"/>
      <c r="X9" s="58"/>
    </row>
    <row r="10" spans="1:24" s="55" customFormat="1" x14ac:dyDescent="0.2">
      <c r="A10" s="124">
        <v>43190</v>
      </c>
      <c r="B10" s="52" t="s">
        <v>36</v>
      </c>
      <c r="C10" s="52" t="s">
        <v>311</v>
      </c>
      <c r="D10" s="53" t="s">
        <v>38</v>
      </c>
      <c r="E10" s="52" t="s">
        <v>52</v>
      </c>
      <c r="F10" s="54">
        <v>0.25</v>
      </c>
      <c r="G10" s="55">
        <v>685</v>
      </c>
      <c r="H10" s="55">
        <v>62</v>
      </c>
      <c r="I10" s="55">
        <v>12</v>
      </c>
      <c r="J10" s="55">
        <v>45</v>
      </c>
      <c r="K10" s="55">
        <v>18</v>
      </c>
      <c r="L10" s="55">
        <v>84</v>
      </c>
      <c r="M10" s="55">
        <v>13</v>
      </c>
      <c r="N10" s="125">
        <f>H10+I10</f>
        <v>74</v>
      </c>
      <c r="O10" s="55">
        <f>J10+K10</f>
        <v>63</v>
      </c>
      <c r="P10" s="55">
        <f>L10+M10</f>
        <v>97</v>
      </c>
      <c r="Q10" s="56">
        <f>AVERAGE(N10:P10)/F10</f>
        <v>312</v>
      </c>
      <c r="R10" s="56">
        <f>Q10*G10</f>
        <v>213720</v>
      </c>
      <c r="S10" s="54">
        <f>800/Q10</f>
        <v>2.5641025641025643</v>
      </c>
      <c r="T10" s="57"/>
      <c r="U10" s="56">
        <f>R10-(S10*Q10*3)</f>
        <v>211320</v>
      </c>
      <c r="V10" s="56">
        <v>9</v>
      </c>
      <c r="W10" s="56"/>
      <c r="X10" s="58"/>
    </row>
    <row r="11" spans="1:24" s="23" customFormat="1" hidden="1" x14ac:dyDescent="0.2">
      <c r="A11" s="22">
        <v>43191</v>
      </c>
      <c r="B11" s="22" t="s">
        <v>28</v>
      </c>
      <c r="C11" s="22" t="s">
        <v>312</v>
      </c>
      <c r="D11" s="40" t="s">
        <v>68</v>
      </c>
      <c r="E11" s="22" t="s">
        <v>52</v>
      </c>
      <c r="F11" s="24">
        <v>0.3</v>
      </c>
      <c r="G11" s="23">
        <v>330</v>
      </c>
      <c r="H11" s="23">
        <v>3</v>
      </c>
      <c r="I11" s="23">
        <v>3</v>
      </c>
      <c r="J11" s="23">
        <v>9</v>
      </c>
      <c r="K11" s="23">
        <v>3</v>
      </c>
      <c r="L11" s="23">
        <v>9</v>
      </c>
      <c r="M11" s="23">
        <v>3</v>
      </c>
      <c r="N11" s="70">
        <f>H11+I11</f>
        <v>6</v>
      </c>
      <c r="O11" s="71">
        <f>J11+K11</f>
        <v>12</v>
      </c>
      <c r="P11" s="71">
        <f>L11+M11</f>
        <v>12</v>
      </c>
      <c r="Q11" s="26">
        <f>AVERAGE(N11:P11)/F11</f>
        <v>33.333333333333336</v>
      </c>
      <c r="R11" s="26">
        <f>Q11*G11</f>
        <v>11000</v>
      </c>
      <c r="S11" s="24">
        <f>800/Q11</f>
        <v>24</v>
      </c>
      <c r="T11" s="27"/>
      <c r="U11" s="26">
        <f>R11-(S11*Q11*3)</f>
        <v>8600</v>
      </c>
      <c r="V11" s="26" t="s">
        <v>64</v>
      </c>
      <c r="W11" s="26"/>
      <c r="X11" s="28"/>
    </row>
    <row r="12" spans="1:24" s="23" customFormat="1" hidden="1" x14ac:dyDescent="0.2">
      <c r="A12" s="22">
        <v>43191</v>
      </c>
      <c r="B12" s="22" t="s">
        <v>58</v>
      </c>
      <c r="C12" s="22" t="s">
        <v>312</v>
      </c>
      <c r="D12" s="40" t="s">
        <v>59</v>
      </c>
      <c r="E12" s="22" t="s">
        <v>52</v>
      </c>
      <c r="F12" s="24">
        <v>0.3</v>
      </c>
      <c r="G12" s="23">
        <v>400</v>
      </c>
      <c r="H12" s="23">
        <v>0</v>
      </c>
      <c r="I12" s="23">
        <v>2</v>
      </c>
      <c r="J12" s="23">
        <v>4</v>
      </c>
      <c r="K12" s="23">
        <v>2</v>
      </c>
      <c r="L12" s="23">
        <v>4</v>
      </c>
      <c r="M12" s="23">
        <v>1</v>
      </c>
      <c r="N12" s="70">
        <f>H12+I12</f>
        <v>2</v>
      </c>
      <c r="O12" s="71">
        <f>J12+K12</f>
        <v>6</v>
      </c>
      <c r="P12" s="71">
        <f>L12+M12</f>
        <v>5</v>
      </c>
      <c r="Q12" s="26">
        <f>AVERAGE(N12:P12)/F12</f>
        <v>14.444444444444445</v>
      </c>
      <c r="R12" s="26">
        <f>Q12*G12</f>
        <v>5777.7777777777783</v>
      </c>
      <c r="S12" s="24">
        <f>800/Q12</f>
        <v>55.384615384615387</v>
      </c>
      <c r="T12" s="27"/>
      <c r="U12" s="26">
        <f>R12-(S12*Q12*3)</f>
        <v>3377.7777777777783</v>
      </c>
      <c r="V12" s="26" t="s">
        <v>64</v>
      </c>
      <c r="W12" s="26"/>
      <c r="X12" s="28"/>
    </row>
    <row r="13" spans="1:24" s="23" customFormat="1" x14ac:dyDescent="0.2">
      <c r="A13" s="22">
        <v>43191</v>
      </c>
      <c r="B13" s="22" t="s">
        <v>28</v>
      </c>
      <c r="C13" s="22" t="s">
        <v>311</v>
      </c>
      <c r="D13" s="40" t="s">
        <v>77</v>
      </c>
      <c r="E13" s="22" t="s">
        <v>62</v>
      </c>
      <c r="F13" s="24">
        <v>0.35</v>
      </c>
      <c r="G13" s="23">
        <v>750</v>
      </c>
      <c r="H13" s="23">
        <v>75</v>
      </c>
      <c r="I13" s="23">
        <v>6</v>
      </c>
      <c r="J13" s="23">
        <v>102</v>
      </c>
      <c r="K13" s="23">
        <v>15</v>
      </c>
      <c r="L13" s="23">
        <v>82</v>
      </c>
      <c r="M13" s="23">
        <v>5</v>
      </c>
      <c r="N13" s="70">
        <f>H13+I13</f>
        <v>81</v>
      </c>
      <c r="O13" s="71">
        <f>J13+K13</f>
        <v>117</v>
      </c>
      <c r="P13" s="71">
        <f>L13+M13</f>
        <v>87</v>
      </c>
      <c r="Q13" s="26">
        <f>AVERAGE(N13:P13)/F13</f>
        <v>271.42857142857144</v>
      </c>
      <c r="R13" s="26">
        <f>Q13*G13</f>
        <v>203571.42857142858</v>
      </c>
      <c r="S13" s="24">
        <f>800/Q13</f>
        <v>2.9473684210526314</v>
      </c>
      <c r="T13" s="27">
        <f>3.24*Q13</f>
        <v>879.42857142857156</v>
      </c>
      <c r="U13" s="26">
        <f>R13-(S13*Q13*3)</f>
        <v>201171.42857142858</v>
      </c>
      <c r="V13" s="26">
        <v>10</v>
      </c>
      <c r="W13" s="26"/>
      <c r="X13" s="28"/>
    </row>
    <row r="14" spans="1:24" s="23" customFormat="1" hidden="1" x14ac:dyDescent="0.2">
      <c r="A14" s="22">
        <v>43191</v>
      </c>
      <c r="B14" s="22" t="s">
        <v>29</v>
      </c>
      <c r="C14" s="22" t="s">
        <v>311</v>
      </c>
      <c r="D14" s="40" t="s">
        <v>61</v>
      </c>
      <c r="E14" s="22" t="s">
        <v>124</v>
      </c>
      <c r="F14" s="24">
        <v>0.35</v>
      </c>
      <c r="G14" s="23">
        <v>725</v>
      </c>
      <c r="H14" s="23">
        <v>21</v>
      </c>
      <c r="I14" s="23">
        <v>0</v>
      </c>
      <c r="J14" s="23">
        <v>25</v>
      </c>
      <c r="K14" s="23">
        <v>1</v>
      </c>
      <c r="L14" s="23">
        <v>13</v>
      </c>
      <c r="M14" s="23">
        <v>1</v>
      </c>
      <c r="N14" s="70">
        <f>H14+I14</f>
        <v>21</v>
      </c>
      <c r="O14" s="71">
        <f>J14+K14</f>
        <v>26</v>
      </c>
      <c r="P14" s="71">
        <f>L14+M14</f>
        <v>14</v>
      </c>
      <c r="Q14" s="26">
        <f>AVERAGE(N14:P14)/F14</f>
        <v>58.095238095238095</v>
      </c>
      <c r="R14" s="26">
        <f>Q14*G14</f>
        <v>42119.047619047618</v>
      </c>
      <c r="S14" s="24">
        <f>800/Q14</f>
        <v>13.770491803278688</v>
      </c>
      <c r="T14" s="27">
        <f>14.24*Q14</f>
        <v>827.27619047619044</v>
      </c>
      <c r="U14" s="26">
        <f>R14-(S14*Q14*3)</f>
        <v>39719.047619047618</v>
      </c>
      <c r="V14" s="26">
        <v>11</v>
      </c>
      <c r="W14" s="26"/>
      <c r="X14" s="28"/>
    </row>
    <row r="15" spans="1:24" s="23" customFormat="1" hidden="1" x14ac:dyDescent="0.2">
      <c r="A15" s="22">
        <v>43191</v>
      </c>
      <c r="B15" s="22" t="s">
        <v>29</v>
      </c>
      <c r="C15" s="22" t="s">
        <v>312</v>
      </c>
      <c r="D15" s="40" t="s">
        <v>119</v>
      </c>
      <c r="E15" s="22" t="s">
        <v>52</v>
      </c>
      <c r="F15" s="24">
        <v>1</v>
      </c>
      <c r="G15" s="23">
        <v>400</v>
      </c>
      <c r="H15" s="23">
        <v>28</v>
      </c>
      <c r="I15" s="23">
        <v>4</v>
      </c>
      <c r="J15" s="23">
        <v>30</v>
      </c>
      <c r="K15" s="23">
        <v>4</v>
      </c>
      <c r="L15" s="23">
        <v>32</v>
      </c>
      <c r="M15" s="23">
        <v>3</v>
      </c>
      <c r="N15" s="70">
        <f>H15+I15</f>
        <v>32</v>
      </c>
      <c r="O15" s="71">
        <f>J15+K15</f>
        <v>34</v>
      </c>
      <c r="P15" s="71">
        <f>L15+M15</f>
        <v>35</v>
      </c>
      <c r="Q15" s="26">
        <f>AVERAGE(N15:P15)/F15</f>
        <v>33.666666666666664</v>
      </c>
      <c r="R15" s="26">
        <f>Q15*G15</f>
        <v>13466.666666666666</v>
      </c>
      <c r="S15" s="24">
        <f>800/Q15</f>
        <v>23.762376237623766</v>
      </c>
      <c r="T15" s="27"/>
      <c r="U15" s="26">
        <f>R15-(S15*Q15*3)</f>
        <v>11066.666666666666</v>
      </c>
      <c r="V15" s="26">
        <v>12</v>
      </c>
      <c r="W15" s="26"/>
      <c r="X15" s="28"/>
    </row>
    <row r="16" spans="1:24" s="23" customFormat="1" hidden="1" x14ac:dyDescent="0.2">
      <c r="A16" s="22">
        <v>43191</v>
      </c>
      <c r="B16" s="22" t="s">
        <v>36</v>
      </c>
      <c r="C16" s="22" t="s">
        <v>312</v>
      </c>
      <c r="D16" s="40" t="s">
        <v>42</v>
      </c>
      <c r="E16" s="22" t="s">
        <v>52</v>
      </c>
      <c r="F16" s="24">
        <v>1</v>
      </c>
      <c r="G16" s="23">
        <v>330</v>
      </c>
      <c r="H16" s="23">
        <v>23</v>
      </c>
      <c r="I16" s="23">
        <v>0</v>
      </c>
      <c r="J16" s="23">
        <v>19</v>
      </c>
      <c r="K16" s="23">
        <v>2</v>
      </c>
      <c r="L16" s="23">
        <v>12</v>
      </c>
      <c r="M16" s="23">
        <v>3</v>
      </c>
      <c r="N16" s="70">
        <f>H16+I16</f>
        <v>23</v>
      </c>
      <c r="O16" s="71">
        <f>J16+K16</f>
        <v>21</v>
      </c>
      <c r="P16" s="71">
        <f>L16+M16</f>
        <v>15</v>
      </c>
      <c r="Q16" s="26">
        <f>AVERAGE(N16:P16)/F16</f>
        <v>19.666666666666668</v>
      </c>
      <c r="R16" s="26">
        <f>Q16*G16</f>
        <v>6490</v>
      </c>
      <c r="S16" s="24">
        <f>800/Q16</f>
        <v>40.677966101694913</v>
      </c>
      <c r="T16" s="27"/>
      <c r="U16" s="26">
        <f>R16-(S16*Q16*3)</f>
        <v>4090</v>
      </c>
      <c r="V16" s="26" t="s">
        <v>64</v>
      </c>
      <c r="W16" s="26"/>
      <c r="X16" s="28"/>
    </row>
    <row r="17" spans="1:24" s="23" customFormat="1" x14ac:dyDescent="0.2">
      <c r="A17" s="22">
        <v>43191</v>
      </c>
      <c r="B17" s="22" t="s">
        <v>36</v>
      </c>
      <c r="C17" s="22" t="s">
        <v>311</v>
      </c>
      <c r="D17" s="40" t="s">
        <v>38</v>
      </c>
      <c r="E17" s="22" t="s">
        <v>52</v>
      </c>
      <c r="F17" s="24">
        <v>1</v>
      </c>
      <c r="G17" s="23">
        <v>500</v>
      </c>
      <c r="H17" s="23">
        <v>119</v>
      </c>
      <c r="I17" s="23">
        <v>6</v>
      </c>
      <c r="J17" s="23">
        <v>115</v>
      </c>
      <c r="K17" s="23">
        <v>2</v>
      </c>
      <c r="L17" s="23">
        <v>114</v>
      </c>
      <c r="M17" s="23">
        <v>3</v>
      </c>
      <c r="N17" s="70">
        <f>H17+I17</f>
        <v>125</v>
      </c>
      <c r="O17" s="71">
        <f>J17+K17</f>
        <v>117</v>
      </c>
      <c r="P17" s="71">
        <f>L17+M17</f>
        <v>117</v>
      </c>
      <c r="Q17" s="26">
        <f>AVERAGE(N17:P17)/F17</f>
        <v>119.66666666666667</v>
      </c>
      <c r="R17" s="26">
        <f>Q17*G17</f>
        <v>59833.333333333336</v>
      </c>
      <c r="S17" s="24">
        <f>800/Q17</f>
        <v>6.6852367688022278</v>
      </c>
      <c r="T17" s="27"/>
      <c r="U17" s="26">
        <f>R17-(S17*Q17*3)</f>
        <v>57433.333333333336</v>
      </c>
      <c r="V17" s="26">
        <v>13</v>
      </c>
      <c r="W17" s="26"/>
      <c r="X17" s="28"/>
    </row>
    <row r="18" spans="1:24" s="23" customFormat="1" hidden="1" x14ac:dyDescent="0.2">
      <c r="A18" s="22">
        <v>43191</v>
      </c>
      <c r="B18" s="22" t="s">
        <v>60</v>
      </c>
      <c r="C18" s="22" t="s">
        <v>312</v>
      </c>
      <c r="D18" s="40" t="s">
        <v>66</v>
      </c>
      <c r="E18" s="22" t="s">
        <v>52</v>
      </c>
      <c r="F18" s="24">
        <v>1</v>
      </c>
      <c r="G18" s="23">
        <v>375</v>
      </c>
      <c r="H18" s="23">
        <v>2</v>
      </c>
      <c r="I18" s="23">
        <v>4</v>
      </c>
      <c r="J18" s="23">
        <v>2</v>
      </c>
      <c r="K18" s="23">
        <v>5</v>
      </c>
      <c r="L18" s="23">
        <v>1</v>
      </c>
      <c r="M18" s="23">
        <v>4</v>
      </c>
      <c r="N18" s="70">
        <f>H18+I18</f>
        <v>6</v>
      </c>
      <c r="O18" s="71">
        <f>J18+K18</f>
        <v>7</v>
      </c>
      <c r="P18" s="71">
        <f>L18+M18</f>
        <v>5</v>
      </c>
      <c r="Q18" s="26">
        <f>AVERAGE(N18:P18)/F18</f>
        <v>6</v>
      </c>
      <c r="R18" s="26">
        <f>Q18*G18</f>
        <v>2250</v>
      </c>
      <c r="S18" s="24">
        <f>800/Q18</f>
        <v>133.33333333333334</v>
      </c>
      <c r="T18" s="27"/>
      <c r="U18" s="26" t="s">
        <v>20</v>
      </c>
      <c r="V18" s="26" t="s">
        <v>64</v>
      </c>
      <c r="W18" s="26"/>
      <c r="X18" s="28"/>
    </row>
    <row r="19" spans="1:24" s="55" customFormat="1" x14ac:dyDescent="0.2">
      <c r="A19" s="52">
        <v>43192</v>
      </c>
      <c r="B19" s="52" t="s">
        <v>60</v>
      </c>
      <c r="C19" s="52" t="s">
        <v>311</v>
      </c>
      <c r="D19" s="53" t="s">
        <v>65</v>
      </c>
      <c r="E19" s="52" t="s">
        <v>136</v>
      </c>
      <c r="F19" s="54">
        <v>0.25</v>
      </c>
      <c r="G19" s="55">
        <v>840</v>
      </c>
      <c r="H19" s="55">
        <v>118</v>
      </c>
      <c r="I19" s="55">
        <v>1</v>
      </c>
      <c r="J19" s="55">
        <v>133</v>
      </c>
      <c r="K19" s="55">
        <v>1</v>
      </c>
      <c r="L19" s="55">
        <v>113</v>
      </c>
      <c r="M19" s="55">
        <v>2</v>
      </c>
      <c r="N19" s="70">
        <f>H19+I19</f>
        <v>119</v>
      </c>
      <c r="O19" s="71">
        <f>J19+K19</f>
        <v>134</v>
      </c>
      <c r="P19" s="71">
        <f>L19+M19</f>
        <v>115</v>
      </c>
      <c r="Q19" s="26">
        <f>AVERAGE(N19:P19)/F19</f>
        <v>490.66666666666669</v>
      </c>
      <c r="R19" s="56">
        <f>Q19*G19</f>
        <v>412160</v>
      </c>
      <c r="S19" s="54">
        <f>800/Q19</f>
        <v>1.6304347826086956</v>
      </c>
      <c r="T19" s="57">
        <f>1.65*Q19</f>
        <v>809.6</v>
      </c>
      <c r="U19" s="56">
        <f>R19-(S19*Q19*3)</f>
        <v>409760</v>
      </c>
      <c r="V19" s="56">
        <v>14</v>
      </c>
      <c r="W19" s="56">
        <v>2</v>
      </c>
      <c r="X19" s="58"/>
    </row>
    <row r="20" spans="1:24" s="55" customFormat="1" x14ac:dyDescent="0.2">
      <c r="A20" s="52">
        <v>43192</v>
      </c>
      <c r="B20" s="52" t="s">
        <v>60</v>
      </c>
      <c r="C20" s="52" t="s">
        <v>312</v>
      </c>
      <c r="D20" s="53" t="s">
        <v>66</v>
      </c>
      <c r="E20" s="52" t="s">
        <v>71</v>
      </c>
      <c r="F20" s="54">
        <v>0.25</v>
      </c>
      <c r="G20" s="55">
        <v>920</v>
      </c>
      <c r="H20" s="55">
        <v>212</v>
      </c>
      <c r="I20" s="55">
        <v>6</v>
      </c>
      <c r="J20" s="55">
        <v>218</v>
      </c>
      <c r="K20" s="55">
        <v>7</v>
      </c>
      <c r="L20" s="55">
        <v>268</v>
      </c>
      <c r="M20" s="55">
        <v>6</v>
      </c>
      <c r="N20" s="70">
        <f>H20+I20</f>
        <v>218</v>
      </c>
      <c r="O20" s="71">
        <f>J20+K20</f>
        <v>225</v>
      </c>
      <c r="P20" s="71">
        <f>L20+M20</f>
        <v>274</v>
      </c>
      <c r="Q20" s="26">
        <f>AVERAGE(N20:P20)/F20</f>
        <v>956</v>
      </c>
      <c r="R20" s="56">
        <f>Q20*G20</f>
        <v>879520</v>
      </c>
      <c r="S20" s="54">
        <f>800/Q20</f>
        <v>0.83682008368200833</v>
      </c>
      <c r="T20" s="57">
        <f>0.86*Q20</f>
        <v>822.16</v>
      </c>
      <c r="U20" s="56">
        <f>R20-(S20*Q20*3)</f>
        <v>877120</v>
      </c>
      <c r="V20" s="56">
        <v>15</v>
      </c>
      <c r="W20" s="56">
        <v>2</v>
      </c>
      <c r="X20" s="58"/>
    </row>
    <row r="21" spans="1:24" s="55" customFormat="1" x14ac:dyDescent="0.2">
      <c r="A21" s="52">
        <v>43192</v>
      </c>
      <c r="B21" s="52" t="s">
        <v>36</v>
      </c>
      <c r="C21" s="52" t="s">
        <v>311</v>
      </c>
      <c r="D21" s="53" t="s">
        <v>38</v>
      </c>
      <c r="E21" s="52" t="s">
        <v>73</v>
      </c>
      <c r="F21" s="54">
        <v>0.25</v>
      </c>
      <c r="G21" s="55">
        <v>850</v>
      </c>
      <c r="H21" s="55">
        <v>69</v>
      </c>
      <c r="I21" s="55">
        <v>22</v>
      </c>
      <c r="J21" s="55">
        <v>81</v>
      </c>
      <c r="K21" s="55">
        <v>23</v>
      </c>
      <c r="L21" s="55">
        <v>51</v>
      </c>
      <c r="M21" s="55">
        <v>40</v>
      </c>
      <c r="N21" s="70">
        <f>H21+I21</f>
        <v>91</v>
      </c>
      <c r="O21" s="71">
        <f>J21+K21</f>
        <v>104</v>
      </c>
      <c r="P21" s="71">
        <f>L21+M21</f>
        <v>91</v>
      </c>
      <c r="Q21" s="26">
        <f>AVERAGE(N21:P21)/F21</f>
        <v>381.33333333333331</v>
      </c>
      <c r="R21" s="56">
        <f>Q21*G21</f>
        <v>324133.33333333331</v>
      </c>
      <c r="S21" s="54">
        <f>800/Q21</f>
        <v>2.0979020979020979</v>
      </c>
      <c r="T21" s="73">
        <f>2.99*Q21</f>
        <v>1140.1866666666667</v>
      </c>
      <c r="U21" s="56">
        <f>R21-(S21*Q21*3)</f>
        <v>321733.33333333331</v>
      </c>
      <c r="V21" s="56">
        <v>16</v>
      </c>
      <c r="W21" s="56">
        <v>2</v>
      </c>
      <c r="X21" s="58"/>
    </row>
    <row r="22" spans="1:24" s="55" customFormat="1" x14ac:dyDescent="0.2">
      <c r="A22" s="52">
        <v>43192</v>
      </c>
      <c r="B22" s="52" t="s">
        <v>37</v>
      </c>
      <c r="C22" s="52" t="s">
        <v>311</v>
      </c>
      <c r="D22" s="53" t="s">
        <v>67</v>
      </c>
      <c r="E22" s="52" t="s">
        <v>75</v>
      </c>
      <c r="F22" s="54">
        <v>0.25</v>
      </c>
      <c r="G22" s="55">
        <v>850</v>
      </c>
      <c r="H22" s="55">
        <v>142</v>
      </c>
      <c r="I22" s="55">
        <v>9</v>
      </c>
      <c r="J22" s="55">
        <v>137</v>
      </c>
      <c r="K22" s="55">
        <v>14</v>
      </c>
      <c r="L22" s="55">
        <v>132</v>
      </c>
      <c r="M22" s="55">
        <v>10</v>
      </c>
      <c r="N22" s="70">
        <f>H22+I22</f>
        <v>151</v>
      </c>
      <c r="O22" s="71">
        <f>J22+K22</f>
        <v>151</v>
      </c>
      <c r="P22" s="71">
        <f>L22+M22</f>
        <v>142</v>
      </c>
      <c r="Q22" s="26">
        <f>AVERAGE(N22:P22)/F22</f>
        <v>592</v>
      </c>
      <c r="R22" s="56">
        <f>Q22*G22</f>
        <v>503200</v>
      </c>
      <c r="S22" s="54">
        <f>800/Q22</f>
        <v>1.3513513513513513</v>
      </c>
      <c r="T22" s="57">
        <f>1.46*Q22</f>
        <v>864.31999999999994</v>
      </c>
      <c r="U22" s="56">
        <f>R22-(S22*Q22*3)</f>
        <v>500800</v>
      </c>
      <c r="V22" s="56">
        <v>17</v>
      </c>
      <c r="W22" s="56">
        <v>2</v>
      </c>
      <c r="X22" s="58"/>
    </row>
    <row r="23" spans="1:24" s="55" customFormat="1" x14ac:dyDescent="0.2">
      <c r="A23" s="52">
        <v>43192</v>
      </c>
      <c r="B23" s="52" t="s">
        <v>36</v>
      </c>
      <c r="C23" s="52" t="s">
        <v>312</v>
      </c>
      <c r="D23" s="53" t="s">
        <v>42</v>
      </c>
      <c r="E23" s="52" t="s">
        <v>52</v>
      </c>
      <c r="F23" s="54">
        <v>0.25</v>
      </c>
      <c r="G23" s="55">
        <v>545</v>
      </c>
      <c r="H23" s="55">
        <v>28</v>
      </c>
      <c r="I23" s="55">
        <v>132</v>
      </c>
      <c r="J23" s="55">
        <v>27</v>
      </c>
      <c r="K23" s="55">
        <v>161</v>
      </c>
      <c r="L23" s="55">
        <v>22</v>
      </c>
      <c r="M23" s="55">
        <v>145</v>
      </c>
      <c r="N23" s="70">
        <f>H23+I23</f>
        <v>160</v>
      </c>
      <c r="O23" s="71">
        <f>J23+K23</f>
        <v>188</v>
      </c>
      <c r="P23" s="71">
        <f>L23+M23</f>
        <v>167</v>
      </c>
      <c r="Q23" s="26">
        <f>AVERAGE(N23:P23)/F23</f>
        <v>686.66666666666663</v>
      </c>
      <c r="R23" s="56">
        <f>Q23*G23</f>
        <v>374233.33333333331</v>
      </c>
      <c r="S23" s="54">
        <f>800/Q23</f>
        <v>1.1650485436893205</v>
      </c>
      <c r="T23" s="57"/>
      <c r="U23" s="56">
        <f>R23-(S23*Q23*3)</f>
        <v>371833.33333333331</v>
      </c>
      <c r="V23" s="56">
        <v>18</v>
      </c>
      <c r="W23" s="56">
        <v>2</v>
      </c>
      <c r="X23" s="58"/>
    </row>
    <row r="24" spans="1:24" s="55" customFormat="1" x14ac:dyDescent="0.2">
      <c r="A24" s="52">
        <v>43192</v>
      </c>
      <c r="B24" s="52" t="s">
        <v>28</v>
      </c>
      <c r="C24" s="52" t="s">
        <v>312</v>
      </c>
      <c r="D24" s="53" t="s">
        <v>68</v>
      </c>
      <c r="E24" s="52" t="s">
        <v>52</v>
      </c>
      <c r="F24" s="54">
        <v>0.25</v>
      </c>
      <c r="G24" s="55">
        <v>750</v>
      </c>
      <c r="H24" s="55">
        <v>54</v>
      </c>
      <c r="I24" s="55">
        <v>85</v>
      </c>
      <c r="J24" s="55">
        <v>75</v>
      </c>
      <c r="K24" s="55">
        <v>94</v>
      </c>
      <c r="L24" s="55">
        <v>81</v>
      </c>
      <c r="M24" s="55">
        <v>68</v>
      </c>
      <c r="N24" s="70">
        <f>H24+I24</f>
        <v>139</v>
      </c>
      <c r="O24" s="71">
        <f>J24+K24</f>
        <v>169</v>
      </c>
      <c r="P24" s="71">
        <f>L24+M24</f>
        <v>149</v>
      </c>
      <c r="Q24" s="26">
        <f>AVERAGE(N24:P24)/F24</f>
        <v>609.33333333333337</v>
      </c>
      <c r="R24" s="56">
        <f>Q24*G24</f>
        <v>457000</v>
      </c>
      <c r="S24" s="54">
        <f>800/Q24</f>
        <v>1.3129102844638949</v>
      </c>
      <c r="T24" s="57"/>
      <c r="U24" s="56">
        <f>R24-(S24*Q24*3)</f>
        <v>454600</v>
      </c>
      <c r="V24" s="56">
        <v>19</v>
      </c>
      <c r="W24" s="56">
        <v>2</v>
      </c>
      <c r="X24" s="58"/>
    </row>
    <row r="25" spans="1:24" s="55" customFormat="1" x14ac:dyDescent="0.2">
      <c r="A25" s="52">
        <v>43192</v>
      </c>
      <c r="B25" s="52" t="s">
        <v>58</v>
      </c>
      <c r="C25" s="52" t="s">
        <v>311</v>
      </c>
      <c r="D25" s="53" t="s">
        <v>69</v>
      </c>
      <c r="E25" s="52" t="s">
        <v>72</v>
      </c>
      <c r="F25" s="54">
        <v>0.25</v>
      </c>
      <c r="G25" s="55">
        <v>900</v>
      </c>
      <c r="H25" s="55">
        <v>200</v>
      </c>
      <c r="I25" s="55">
        <v>20</v>
      </c>
      <c r="J25" s="55">
        <v>180</v>
      </c>
      <c r="K25" s="55">
        <v>19</v>
      </c>
      <c r="L25" s="55">
        <v>182</v>
      </c>
      <c r="M25" s="55">
        <v>25</v>
      </c>
      <c r="N25" s="70">
        <f>H25+I25</f>
        <v>220</v>
      </c>
      <c r="O25" s="71">
        <f>J25+K25</f>
        <v>199</v>
      </c>
      <c r="P25" s="71">
        <f>L25+M25</f>
        <v>207</v>
      </c>
      <c r="Q25" s="26">
        <f>AVERAGE(N25:P25)/F25</f>
        <v>834.66666666666663</v>
      </c>
      <c r="R25" s="56">
        <f>Q25*G25</f>
        <v>751200</v>
      </c>
      <c r="S25" s="54">
        <f>800/Q25</f>
        <v>0.95846645367412142</v>
      </c>
      <c r="T25" s="57">
        <f>1.07*Q25</f>
        <v>893.09333333333336</v>
      </c>
      <c r="U25" s="56">
        <f>R25-(S25*Q25*3)</f>
        <v>748800</v>
      </c>
      <c r="V25" s="56">
        <v>20</v>
      </c>
      <c r="W25" s="56">
        <v>2</v>
      </c>
      <c r="X25" s="58"/>
    </row>
    <row r="26" spans="1:24" s="55" customFormat="1" x14ac:dyDescent="0.2">
      <c r="A26" s="52">
        <v>43192</v>
      </c>
      <c r="B26" s="52" t="s">
        <v>58</v>
      </c>
      <c r="C26" s="52" t="s">
        <v>312</v>
      </c>
      <c r="D26" s="53" t="s">
        <v>59</v>
      </c>
      <c r="E26" s="52" t="s">
        <v>52</v>
      </c>
      <c r="F26" s="54">
        <v>1</v>
      </c>
      <c r="G26" s="55">
        <v>480</v>
      </c>
      <c r="H26" s="55">
        <v>137</v>
      </c>
      <c r="I26" s="55">
        <v>12</v>
      </c>
      <c r="J26" s="55">
        <v>149</v>
      </c>
      <c r="K26" s="55">
        <v>4</v>
      </c>
      <c r="L26" s="55">
        <v>140</v>
      </c>
      <c r="M26" s="55">
        <v>3</v>
      </c>
      <c r="N26" s="70">
        <f>H26+I26</f>
        <v>149</v>
      </c>
      <c r="O26" s="71">
        <f>J26+K26</f>
        <v>153</v>
      </c>
      <c r="P26" s="71">
        <f>L26+M26</f>
        <v>143</v>
      </c>
      <c r="Q26" s="26">
        <f>AVERAGE(N26:P26)/F26</f>
        <v>148.33333333333334</v>
      </c>
      <c r="R26" s="56">
        <f>Q26*G26</f>
        <v>71200</v>
      </c>
      <c r="S26" s="54">
        <f>800/Q26</f>
        <v>5.393258426966292</v>
      </c>
      <c r="T26" s="57"/>
      <c r="U26" s="56">
        <f>R26-(S26*Q26*3)</f>
        <v>68800</v>
      </c>
      <c r="V26" s="56">
        <v>21</v>
      </c>
      <c r="W26" s="56">
        <v>1</v>
      </c>
      <c r="X26" s="58"/>
    </row>
    <row r="27" spans="1:24" s="55" customFormat="1" x14ac:dyDescent="0.2">
      <c r="A27" s="52">
        <v>43192</v>
      </c>
      <c r="B27" s="52" t="s">
        <v>29</v>
      </c>
      <c r="C27" s="52" t="s">
        <v>311</v>
      </c>
      <c r="D27" s="53" t="s">
        <v>61</v>
      </c>
      <c r="E27" s="52" t="s">
        <v>74</v>
      </c>
      <c r="F27" s="59">
        <v>0.25</v>
      </c>
      <c r="G27" s="55">
        <v>760</v>
      </c>
      <c r="H27" s="55">
        <v>110</v>
      </c>
      <c r="I27" s="55">
        <v>2</v>
      </c>
      <c r="J27" s="55">
        <v>94</v>
      </c>
      <c r="K27" s="55">
        <v>4</v>
      </c>
      <c r="L27" s="55">
        <v>99</v>
      </c>
      <c r="M27" s="55">
        <v>4</v>
      </c>
      <c r="N27" s="70">
        <f>H27+I27</f>
        <v>112</v>
      </c>
      <c r="O27" s="71">
        <f>J27+K27</f>
        <v>98</v>
      </c>
      <c r="P27" s="71">
        <f>L27+M27</f>
        <v>103</v>
      </c>
      <c r="Q27" s="26">
        <f>AVERAGE(N27:P27)/F27</f>
        <v>417.33333333333331</v>
      </c>
      <c r="R27" s="56">
        <f>Q27*G27</f>
        <v>317173.33333333331</v>
      </c>
      <c r="S27" s="54">
        <f>800/Q27</f>
        <v>1.9169329073482428</v>
      </c>
      <c r="T27" s="57">
        <f>1.98*Q27</f>
        <v>826.31999999999994</v>
      </c>
      <c r="U27" s="56">
        <f>R27-(S27*Q27*3)</f>
        <v>314773.33333333331</v>
      </c>
      <c r="V27" s="56">
        <v>22</v>
      </c>
      <c r="W27" s="56">
        <v>2</v>
      </c>
      <c r="X27" s="58"/>
    </row>
    <row r="28" spans="1:24" s="23" customFormat="1" x14ac:dyDescent="0.2">
      <c r="A28" s="22">
        <v>43193</v>
      </c>
      <c r="B28" s="22" t="s">
        <v>37</v>
      </c>
      <c r="C28" s="22" t="s">
        <v>312</v>
      </c>
      <c r="D28" s="40" t="s">
        <v>39</v>
      </c>
      <c r="E28" s="22" t="s">
        <v>78</v>
      </c>
      <c r="F28" s="24">
        <v>0.25</v>
      </c>
      <c r="G28" s="23">
        <v>840</v>
      </c>
      <c r="H28" s="23">
        <v>55</v>
      </c>
      <c r="I28" s="23">
        <v>0</v>
      </c>
      <c r="J28" s="23">
        <v>4</v>
      </c>
      <c r="K28" s="23">
        <v>1</v>
      </c>
      <c r="L28" s="23">
        <v>47</v>
      </c>
      <c r="M28" s="23">
        <v>1</v>
      </c>
      <c r="N28" s="70">
        <f>H28+I28</f>
        <v>55</v>
      </c>
      <c r="O28" s="71">
        <f>J28+K28</f>
        <v>5</v>
      </c>
      <c r="P28" s="71">
        <f>L28+M28</f>
        <v>48</v>
      </c>
      <c r="Q28" s="26">
        <f>AVERAGE(N28:P28)/F28</f>
        <v>144</v>
      </c>
      <c r="R28" s="26">
        <f>Q28*G28</f>
        <v>120960</v>
      </c>
      <c r="S28" s="24">
        <f>800/Q28</f>
        <v>5.5555555555555554</v>
      </c>
      <c r="T28" s="27">
        <f>5.66*Q28</f>
        <v>815.04</v>
      </c>
      <c r="U28" s="26">
        <f>R28-(S28*Q28*3)</f>
        <v>118560</v>
      </c>
      <c r="V28" s="26">
        <v>23</v>
      </c>
      <c r="W28" s="26"/>
      <c r="X28" s="28"/>
    </row>
    <row r="29" spans="1:24" s="23" customFormat="1" hidden="1" x14ac:dyDescent="0.2">
      <c r="A29" s="22">
        <v>43193</v>
      </c>
      <c r="B29" s="22" t="s">
        <v>60</v>
      </c>
      <c r="C29" s="22" t="s">
        <v>312</v>
      </c>
      <c r="D29" s="40" t="s">
        <v>66</v>
      </c>
      <c r="E29" s="22" t="s">
        <v>52</v>
      </c>
      <c r="F29" s="24">
        <v>0.5</v>
      </c>
      <c r="G29" s="23">
        <v>470</v>
      </c>
      <c r="H29" s="23">
        <v>29</v>
      </c>
      <c r="I29" s="23">
        <v>5</v>
      </c>
      <c r="J29" s="23">
        <v>25</v>
      </c>
      <c r="K29" s="23">
        <v>10</v>
      </c>
      <c r="L29" s="23">
        <v>24</v>
      </c>
      <c r="M29" s="23">
        <v>14</v>
      </c>
      <c r="N29" s="70">
        <f>H29+I29</f>
        <v>34</v>
      </c>
      <c r="O29" s="71">
        <f>J29+K29</f>
        <v>35</v>
      </c>
      <c r="P29" s="71">
        <f>L29+M29</f>
        <v>38</v>
      </c>
      <c r="Q29" s="26">
        <f>AVERAGE(N29:P29)/F29</f>
        <v>71.333333333333329</v>
      </c>
      <c r="R29" s="26">
        <f>Q29*G29</f>
        <v>33526.666666666664</v>
      </c>
      <c r="S29" s="24">
        <f>800/Q29</f>
        <v>11.214953271028039</v>
      </c>
      <c r="T29" s="27"/>
      <c r="U29" s="26">
        <f>R29-(S29*Q29*3)</f>
        <v>31126.666666666664</v>
      </c>
      <c r="V29" s="26">
        <v>24</v>
      </c>
      <c r="W29" s="26"/>
      <c r="X29" s="28"/>
    </row>
    <row r="30" spans="1:24" s="23" customFormat="1" x14ac:dyDescent="0.2">
      <c r="A30" s="22">
        <v>43193</v>
      </c>
      <c r="B30" s="22" t="s">
        <v>37</v>
      </c>
      <c r="C30" s="22" t="s">
        <v>311</v>
      </c>
      <c r="D30" s="40" t="s">
        <v>67</v>
      </c>
      <c r="E30" s="22" t="s">
        <v>52</v>
      </c>
      <c r="F30" s="24">
        <v>0.25</v>
      </c>
      <c r="G30" s="23">
        <v>880</v>
      </c>
      <c r="H30" s="23">
        <v>62</v>
      </c>
      <c r="I30" s="23">
        <v>32</v>
      </c>
      <c r="J30" s="23">
        <v>66</v>
      </c>
      <c r="K30" s="23">
        <v>38</v>
      </c>
      <c r="L30" s="23">
        <v>64</v>
      </c>
      <c r="M30" s="23">
        <v>44</v>
      </c>
      <c r="N30" s="70">
        <f>H30+I30</f>
        <v>94</v>
      </c>
      <c r="O30" s="71">
        <f>J30+K30</f>
        <v>104</v>
      </c>
      <c r="P30" s="71">
        <f>L30+M30</f>
        <v>108</v>
      </c>
      <c r="Q30" s="26">
        <f>AVERAGE(N30:P30)/F30</f>
        <v>408</v>
      </c>
      <c r="R30" s="26">
        <f>Q30*G30</f>
        <v>359040</v>
      </c>
      <c r="S30" s="24">
        <f>800/Q30</f>
        <v>1.9607843137254901</v>
      </c>
      <c r="T30" s="27"/>
      <c r="U30" s="26">
        <f>R30-(S30*Q30*3)</f>
        <v>356640</v>
      </c>
      <c r="V30" s="26">
        <v>25</v>
      </c>
      <c r="W30" s="26"/>
      <c r="X30" s="28"/>
    </row>
    <row r="31" spans="1:24" s="23" customFormat="1" hidden="1" x14ac:dyDescent="0.2">
      <c r="A31" s="22">
        <v>43193</v>
      </c>
      <c r="B31" s="22" t="s">
        <v>58</v>
      </c>
      <c r="C31" s="22" t="s">
        <v>311</v>
      </c>
      <c r="D31" s="40" t="s">
        <v>69</v>
      </c>
      <c r="E31" s="22" t="s">
        <v>52</v>
      </c>
      <c r="F31" s="24">
        <v>0.5</v>
      </c>
      <c r="G31" s="23">
        <v>520</v>
      </c>
      <c r="H31" s="23">
        <v>30</v>
      </c>
      <c r="I31" s="23">
        <v>17</v>
      </c>
      <c r="J31" s="23">
        <v>23</v>
      </c>
      <c r="K31" s="23">
        <v>14</v>
      </c>
      <c r="L31" s="23">
        <v>28</v>
      </c>
      <c r="M31" s="23">
        <v>9</v>
      </c>
      <c r="N31" s="70">
        <f>H31+I31</f>
        <v>47</v>
      </c>
      <c r="O31" s="71">
        <f>J31+K31</f>
        <v>37</v>
      </c>
      <c r="P31" s="71">
        <f>L31+M31</f>
        <v>37</v>
      </c>
      <c r="Q31" s="26">
        <f>AVERAGE(N31:P31)/F31</f>
        <v>80.666666666666671</v>
      </c>
      <c r="R31" s="26">
        <f>Q31*G31</f>
        <v>41946.666666666672</v>
      </c>
      <c r="S31" s="24">
        <f>800/Q31</f>
        <v>9.9173553719008254</v>
      </c>
      <c r="T31" s="27"/>
      <c r="U31" s="26">
        <f>R31-(S31*Q31*3)</f>
        <v>39546.666666666672</v>
      </c>
      <c r="V31" s="26">
        <v>26</v>
      </c>
      <c r="W31" s="26"/>
      <c r="X31" s="28"/>
    </row>
    <row r="32" spans="1:24" s="23" customFormat="1" x14ac:dyDescent="0.2">
      <c r="A32" s="22">
        <v>43193</v>
      </c>
      <c r="B32" s="22" t="s">
        <v>58</v>
      </c>
      <c r="C32" s="22" t="s">
        <v>312</v>
      </c>
      <c r="D32" s="40" t="s">
        <v>59</v>
      </c>
      <c r="E32" s="22" t="s">
        <v>79</v>
      </c>
      <c r="F32" s="24">
        <v>0.2</v>
      </c>
      <c r="G32" s="23">
        <v>840</v>
      </c>
      <c r="H32" s="23">
        <v>76</v>
      </c>
      <c r="I32" s="23">
        <v>3</v>
      </c>
      <c r="J32" s="23">
        <v>116</v>
      </c>
      <c r="K32" s="23">
        <v>10</v>
      </c>
      <c r="L32" s="23">
        <v>102</v>
      </c>
      <c r="M32" s="23">
        <v>11</v>
      </c>
      <c r="N32" s="70">
        <f>H32+I32</f>
        <v>79</v>
      </c>
      <c r="O32" s="71">
        <f>J32+K32</f>
        <v>126</v>
      </c>
      <c r="P32" s="71">
        <f>L32+M32</f>
        <v>113</v>
      </c>
      <c r="Q32" s="26">
        <f>AVERAGE(N32:P32)/F32</f>
        <v>530</v>
      </c>
      <c r="R32" s="26">
        <f>Q32*G32</f>
        <v>445200</v>
      </c>
      <c r="S32" s="24">
        <f>800/Q32</f>
        <v>1.5094339622641511</v>
      </c>
      <c r="T32" s="27">
        <f>1.63*Q32</f>
        <v>863.9</v>
      </c>
      <c r="U32" s="26">
        <f>R32-(S32*Q32*3)</f>
        <v>442800</v>
      </c>
      <c r="V32" s="26">
        <v>27</v>
      </c>
      <c r="W32" s="26"/>
      <c r="X32" s="28"/>
    </row>
    <row r="33" spans="1:24" s="23" customFormat="1" ht="16" customHeight="1" x14ac:dyDescent="0.2">
      <c r="A33" s="22">
        <v>43193</v>
      </c>
      <c r="B33" s="22" t="s">
        <v>28</v>
      </c>
      <c r="C33" s="22" t="s">
        <v>311</v>
      </c>
      <c r="D33" s="40" t="s">
        <v>77</v>
      </c>
      <c r="E33" s="22" t="s">
        <v>52</v>
      </c>
      <c r="F33" s="24">
        <v>0.3</v>
      </c>
      <c r="G33" s="23">
        <v>840</v>
      </c>
      <c r="H33" s="23">
        <v>54</v>
      </c>
      <c r="I33" s="23">
        <v>45</v>
      </c>
      <c r="J33" s="23">
        <v>37</v>
      </c>
      <c r="K33" s="23">
        <v>58</v>
      </c>
      <c r="L33" s="23">
        <v>54</v>
      </c>
      <c r="M33" s="23">
        <v>39</v>
      </c>
      <c r="N33" s="70">
        <f>H33+I33</f>
        <v>99</v>
      </c>
      <c r="O33" s="71">
        <f>J33+K33</f>
        <v>95</v>
      </c>
      <c r="P33" s="71">
        <f>L33+M33</f>
        <v>93</v>
      </c>
      <c r="Q33" s="26">
        <f>AVERAGE(N33:P33)/F33</f>
        <v>318.88888888888891</v>
      </c>
      <c r="R33" s="26">
        <f>Q33*G33</f>
        <v>267866.66666666669</v>
      </c>
      <c r="S33" s="24">
        <f>800/Q33</f>
        <v>2.508710801393728</v>
      </c>
      <c r="T33" s="27"/>
      <c r="U33" s="26">
        <f>R33-(S33*Q33*3)</f>
        <v>265466.66666666669</v>
      </c>
      <c r="V33" s="26">
        <v>28</v>
      </c>
      <c r="W33" s="26"/>
      <c r="X33" s="28"/>
    </row>
    <row r="34" spans="1:24" s="55" customFormat="1" x14ac:dyDescent="0.2">
      <c r="A34" s="52">
        <v>43194</v>
      </c>
      <c r="B34" s="52" t="s">
        <v>82</v>
      </c>
      <c r="C34" s="52" t="s">
        <v>312</v>
      </c>
      <c r="D34" s="53" t="s">
        <v>94</v>
      </c>
      <c r="E34" s="52" t="s">
        <v>52</v>
      </c>
      <c r="F34" s="54">
        <v>0.4</v>
      </c>
      <c r="G34" s="55">
        <v>540</v>
      </c>
      <c r="H34" s="55">
        <v>37</v>
      </c>
      <c r="I34" s="55">
        <v>2</v>
      </c>
      <c r="J34" s="55">
        <v>46</v>
      </c>
      <c r="K34" s="55">
        <v>1</v>
      </c>
      <c r="L34" s="55">
        <v>64</v>
      </c>
      <c r="M34" s="55">
        <v>2</v>
      </c>
      <c r="N34" s="125">
        <f>H34+I34</f>
        <v>39</v>
      </c>
      <c r="O34" s="55">
        <f>J34+K34</f>
        <v>47</v>
      </c>
      <c r="P34" s="55">
        <f>L34+M34</f>
        <v>66</v>
      </c>
      <c r="Q34" s="56">
        <f>AVERAGE(N34:P34)/F34</f>
        <v>126.66666666666666</v>
      </c>
      <c r="R34" s="56">
        <f>Q34*G34</f>
        <v>68400</v>
      </c>
      <c r="S34" s="54">
        <f>800/Q34</f>
        <v>6.3157894736842106</v>
      </c>
      <c r="T34" s="126"/>
      <c r="U34" s="56">
        <f>R34-(S34*Q34*3)</f>
        <v>66000</v>
      </c>
      <c r="V34" s="56">
        <v>29</v>
      </c>
      <c r="W34" s="56"/>
      <c r="X34" s="58"/>
    </row>
    <row r="35" spans="1:24" s="55" customFormat="1" x14ac:dyDescent="0.2">
      <c r="A35" s="52">
        <v>43194</v>
      </c>
      <c r="B35" s="52" t="s">
        <v>58</v>
      </c>
      <c r="C35" s="52" t="s">
        <v>312</v>
      </c>
      <c r="D35" s="53" t="s">
        <v>59</v>
      </c>
      <c r="E35" s="52" t="s">
        <v>52</v>
      </c>
      <c r="F35" s="54">
        <v>0.4</v>
      </c>
      <c r="G35" s="55">
        <v>540</v>
      </c>
      <c r="H35" s="55">
        <v>59</v>
      </c>
      <c r="I35" s="55">
        <v>0</v>
      </c>
      <c r="J35" s="55">
        <v>55</v>
      </c>
      <c r="K35" s="55">
        <v>1</v>
      </c>
      <c r="L35" s="55">
        <v>58</v>
      </c>
      <c r="M35" s="55">
        <v>1</v>
      </c>
      <c r="N35" s="125">
        <f>H35+I35</f>
        <v>59</v>
      </c>
      <c r="O35" s="55">
        <f>J35+K35</f>
        <v>56</v>
      </c>
      <c r="P35" s="55">
        <f>L35+M35</f>
        <v>59</v>
      </c>
      <c r="Q35" s="56">
        <f>AVERAGE(N35:P35)/F35</f>
        <v>145</v>
      </c>
      <c r="R35" s="56">
        <f>Q35*G35</f>
        <v>78300</v>
      </c>
      <c r="S35" s="54">
        <f>800/Q35</f>
        <v>5.5172413793103452</v>
      </c>
      <c r="T35" s="57"/>
      <c r="U35" s="56">
        <f>R35-(S35*Q35*3)</f>
        <v>75900</v>
      </c>
      <c r="V35" s="56">
        <v>30</v>
      </c>
      <c r="W35" s="56"/>
      <c r="X35" s="58"/>
    </row>
    <row r="36" spans="1:24" s="55" customFormat="1" x14ac:dyDescent="0.2">
      <c r="A36" s="52">
        <v>43194</v>
      </c>
      <c r="B36" s="52" t="s">
        <v>28</v>
      </c>
      <c r="C36" s="52" t="s">
        <v>312</v>
      </c>
      <c r="D36" s="53" t="s">
        <v>68</v>
      </c>
      <c r="E36" s="52" t="s">
        <v>112</v>
      </c>
      <c r="F36" s="54">
        <v>0.2</v>
      </c>
      <c r="G36" s="55">
        <v>925</v>
      </c>
      <c r="H36" s="55">
        <v>151</v>
      </c>
      <c r="I36" s="55">
        <v>3</v>
      </c>
      <c r="J36" s="55">
        <v>152</v>
      </c>
      <c r="K36" s="55">
        <v>0</v>
      </c>
      <c r="L36" s="55">
        <v>151</v>
      </c>
      <c r="M36" s="55">
        <v>0</v>
      </c>
      <c r="N36" s="125">
        <f>H36+I36</f>
        <v>154</v>
      </c>
      <c r="O36" s="55">
        <f>J36+K36</f>
        <v>152</v>
      </c>
      <c r="P36" s="55">
        <f>L36+M36</f>
        <v>151</v>
      </c>
      <c r="Q36" s="56">
        <f>AVERAGE(N36:P36)/F36</f>
        <v>761.66666666666663</v>
      </c>
      <c r="R36" s="56">
        <f>Q36*G36</f>
        <v>704541.66666666663</v>
      </c>
      <c r="S36" s="54">
        <f>800/Q36</f>
        <v>1.0503282275711161</v>
      </c>
      <c r="T36" s="126"/>
      <c r="U36" s="56">
        <f>R36-(S36*Q36*3)</f>
        <v>702141.66666666663</v>
      </c>
      <c r="V36" s="56">
        <v>31</v>
      </c>
      <c r="W36" s="56"/>
      <c r="X36" s="58"/>
    </row>
    <row r="37" spans="1:24" s="55" customFormat="1" x14ac:dyDescent="0.2">
      <c r="A37" s="52">
        <v>43194</v>
      </c>
      <c r="B37" s="52" t="s">
        <v>37</v>
      </c>
      <c r="C37" s="52" t="s">
        <v>311</v>
      </c>
      <c r="D37" s="53" t="s">
        <v>67</v>
      </c>
      <c r="E37" s="52" t="s">
        <v>52</v>
      </c>
      <c r="F37" s="54">
        <v>0.25</v>
      </c>
      <c r="G37" s="55">
        <v>560</v>
      </c>
      <c r="H37" s="55">
        <v>87</v>
      </c>
      <c r="I37" s="55">
        <v>0</v>
      </c>
      <c r="J37" s="55">
        <v>93</v>
      </c>
      <c r="K37" s="55">
        <v>0</v>
      </c>
      <c r="L37" s="55">
        <v>90</v>
      </c>
      <c r="M37" s="55">
        <v>1</v>
      </c>
      <c r="N37" s="125">
        <f>H37+I37</f>
        <v>87</v>
      </c>
      <c r="O37" s="55">
        <f>J37+K37</f>
        <v>93</v>
      </c>
      <c r="P37" s="55">
        <f>L37+M37</f>
        <v>91</v>
      </c>
      <c r="Q37" s="56">
        <f>AVERAGE(N37:P37)/F37</f>
        <v>361.33333333333331</v>
      </c>
      <c r="R37" s="56">
        <f>Q37*G37</f>
        <v>202346.66666666666</v>
      </c>
      <c r="S37" s="54">
        <f>800/Q37</f>
        <v>2.2140221402214024</v>
      </c>
      <c r="T37" s="57"/>
      <c r="U37" s="56">
        <f>R37-(S37*Q37*3)</f>
        <v>199946.66666666666</v>
      </c>
      <c r="V37" s="56">
        <v>32</v>
      </c>
      <c r="W37" s="56"/>
      <c r="X37" s="58"/>
    </row>
    <row r="38" spans="1:24" s="55" customFormat="1" x14ac:dyDescent="0.2">
      <c r="A38" s="52">
        <v>43194</v>
      </c>
      <c r="B38" s="52" t="s">
        <v>83</v>
      </c>
      <c r="C38" s="52" t="s">
        <v>312</v>
      </c>
      <c r="D38" s="53" t="s">
        <v>95</v>
      </c>
      <c r="E38" s="52" t="s">
        <v>136</v>
      </c>
      <c r="F38" s="54">
        <v>0.25</v>
      </c>
      <c r="G38" s="55">
        <v>725</v>
      </c>
      <c r="H38" s="55">
        <v>71</v>
      </c>
      <c r="I38" s="55">
        <v>0</v>
      </c>
      <c r="J38" s="55">
        <v>64</v>
      </c>
      <c r="K38" s="55">
        <v>1</v>
      </c>
      <c r="L38" s="55">
        <v>58</v>
      </c>
      <c r="M38" s="55">
        <v>2</v>
      </c>
      <c r="N38" s="125">
        <f>H38+I38</f>
        <v>71</v>
      </c>
      <c r="O38" s="55">
        <f>J38+K38</f>
        <v>65</v>
      </c>
      <c r="P38" s="55">
        <f>L38+M38</f>
        <v>60</v>
      </c>
      <c r="Q38" s="56">
        <f>AVERAGE(N38:P38)/F38</f>
        <v>261.33333333333331</v>
      </c>
      <c r="R38" s="56">
        <f>Q38*G38</f>
        <v>189466.66666666666</v>
      </c>
      <c r="S38" s="54">
        <f>800/Q38</f>
        <v>3.0612244897959187</v>
      </c>
      <c r="T38" s="126"/>
      <c r="U38" s="56">
        <f>R38-(S38*Q38*3)</f>
        <v>187066.66666666666</v>
      </c>
      <c r="V38" s="56">
        <v>33</v>
      </c>
      <c r="W38" s="56"/>
      <c r="X38" s="58"/>
    </row>
    <row r="39" spans="1:24" s="55" customFormat="1" x14ac:dyDescent="0.2">
      <c r="A39" s="52">
        <v>43194</v>
      </c>
      <c r="B39" s="52" t="s">
        <v>60</v>
      </c>
      <c r="C39" s="52" t="s">
        <v>312</v>
      </c>
      <c r="D39" s="53" t="s">
        <v>66</v>
      </c>
      <c r="E39" s="52" t="s">
        <v>52</v>
      </c>
      <c r="F39" s="54">
        <v>0.25</v>
      </c>
      <c r="G39" s="55">
        <v>850</v>
      </c>
      <c r="H39" s="55">
        <v>58</v>
      </c>
      <c r="I39" s="55">
        <v>1</v>
      </c>
      <c r="J39" s="55">
        <v>61</v>
      </c>
      <c r="K39" s="55">
        <v>2</v>
      </c>
      <c r="L39" s="55">
        <v>59</v>
      </c>
      <c r="M39" s="55">
        <v>2</v>
      </c>
      <c r="N39" s="125">
        <f>H39+I39</f>
        <v>59</v>
      </c>
      <c r="O39" s="55">
        <f>J39+K39</f>
        <v>63</v>
      </c>
      <c r="P39" s="55">
        <f>L39+M39</f>
        <v>61</v>
      </c>
      <c r="Q39" s="56">
        <f>AVERAGE(N39:P39)/F39</f>
        <v>244</v>
      </c>
      <c r="R39" s="56">
        <f>Q39*G39</f>
        <v>207400</v>
      </c>
      <c r="S39" s="54">
        <f>800/Q39</f>
        <v>3.278688524590164</v>
      </c>
      <c r="T39" s="57"/>
      <c r="U39" s="56">
        <f>R39-(S39*Q39*3)</f>
        <v>205000</v>
      </c>
      <c r="V39" s="56">
        <v>34</v>
      </c>
      <c r="W39" s="56"/>
      <c r="X39" s="58"/>
    </row>
    <row r="40" spans="1:24" s="55" customFormat="1" x14ac:dyDescent="0.2">
      <c r="A40" s="52">
        <v>43194</v>
      </c>
      <c r="B40" s="52" t="s">
        <v>36</v>
      </c>
      <c r="C40" s="52" t="s">
        <v>312</v>
      </c>
      <c r="D40" s="53" t="s">
        <v>42</v>
      </c>
      <c r="E40" s="52" t="s">
        <v>52</v>
      </c>
      <c r="F40" s="54">
        <v>0.2</v>
      </c>
      <c r="G40" s="55">
        <v>940</v>
      </c>
      <c r="H40" s="55">
        <v>112</v>
      </c>
      <c r="I40" s="55">
        <v>8</v>
      </c>
      <c r="J40" s="55">
        <v>105</v>
      </c>
      <c r="K40" s="55">
        <v>5</v>
      </c>
      <c r="L40" s="55">
        <v>123</v>
      </c>
      <c r="M40" s="55">
        <v>11</v>
      </c>
      <c r="N40" s="125">
        <f>H40+I40</f>
        <v>120</v>
      </c>
      <c r="O40" s="55">
        <f>J40+K40</f>
        <v>110</v>
      </c>
      <c r="P40" s="55">
        <f>L40+M40</f>
        <v>134</v>
      </c>
      <c r="Q40" s="56">
        <f>AVERAGE(N40:P40)/F40</f>
        <v>606.66666666666663</v>
      </c>
      <c r="R40" s="56">
        <f>Q40*G40</f>
        <v>570266.66666666663</v>
      </c>
      <c r="S40" s="54">
        <f>800/Q40</f>
        <v>1.3186813186813187</v>
      </c>
      <c r="T40" s="126"/>
      <c r="U40" s="56">
        <f>R40-(S40*Q40*3)</f>
        <v>567866.66666666663</v>
      </c>
      <c r="V40" s="56">
        <v>35</v>
      </c>
      <c r="W40" s="56"/>
      <c r="X40" s="58" t="s">
        <v>107</v>
      </c>
    </row>
    <row r="41" spans="1:24" s="55" customFormat="1" x14ac:dyDescent="0.2">
      <c r="A41" s="52">
        <v>43194</v>
      </c>
      <c r="B41" s="52" t="s">
        <v>37</v>
      </c>
      <c r="C41" s="52" t="s">
        <v>312</v>
      </c>
      <c r="D41" s="53" t="s">
        <v>39</v>
      </c>
      <c r="E41" s="52" t="s">
        <v>52</v>
      </c>
      <c r="F41" s="54">
        <v>0.15</v>
      </c>
      <c r="G41" s="55">
        <v>850</v>
      </c>
      <c r="H41" s="55">
        <v>106</v>
      </c>
      <c r="I41" s="55">
        <v>1</v>
      </c>
      <c r="J41" s="55">
        <v>114</v>
      </c>
      <c r="K41" s="55">
        <v>2</v>
      </c>
      <c r="L41" s="55">
        <v>117</v>
      </c>
      <c r="M41" s="55">
        <v>0</v>
      </c>
      <c r="N41" s="125">
        <f>H41+I41</f>
        <v>107</v>
      </c>
      <c r="O41" s="55">
        <f>J41+K41</f>
        <v>116</v>
      </c>
      <c r="P41" s="55">
        <f>L41+M41</f>
        <v>117</v>
      </c>
      <c r="Q41" s="56">
        <f>AVERAGE(N41:P41)/F41</f>
        <v>755.55555555555554</v>
      </c>
      <c r="R41" s="56">
        <f>Q41*G41</f>
        <v>642222.22222222225</v>
      </c>
      <c r="S41" s="54">
        <f>800/Q41</f>
        <v>1.0588235294117647</v>
      </c>
      <c r="T41" s="57"/>
      <c r="U41" s="56">
        <f>R41-(S41*Q41*3)</f>
        <v>639822.22222222225</v>
      </c>
      <c r="V41" s="56">
        <v>36</v>
      </c>
      <c r="W41" s="56"/>
      <c r="X41" s="58"/>
    </row>
    <row r="42" spans="1:24" s="55" customFormat="1" x14ac:dyDescent="0.2">
      <c r="A42" s="52">
        <v>43194</v>
      </c>
      <c r="B42" s="52" t="s">
        <v>83</v>
      </c>
      <c r="C42" s="52" t="s">
        <v>311</v>
      </c>
      <c r="D42" s="53" t="s">
        <v>96</v>
      </c>
      <c r="E42" s="52" t="s">
        <v>101</v>
      </c>
      <c r="F42" s="54">
        <v>0.4</v>
      </c>
      <c r="G42" s="55">
        <v>740</v>
      </c>
      <c r="H42" s="55">
        <v>92</v>
      </c>
      <c r="I42" s="55">
        <v>1</v>
      </c>
      <c r="J42" s="55">
        <v>105</v>
      </c>
      <c r="K42" s="55">
        <v>2</v>
      </c>
      <c r="L42" s="55">
        <v>109</v>
      </c>
      <c r="M42" s="55">
        <v>1</v>
      </c>
      <c r="N42" s="125">
        <f>H42+I42</f>
        <v>93</v>
      </c>
      <c r="O42" s="55">
        <f>J42+K42</f>
        <v>107</v>
      </c>
      <c r="P42" s="55">
        <f>L42+M42</f>
        <v>110</v>
      </c>
      <c r="Q42" s="56">
        <f>AVERAGE(N42:P42)/F42</f>
        <v>258.33333333333331</v>
      </c>
      <c r="R42" s="56">
        <f>Q42*G42</f>
        <v>191166.66666666666</v>
      </c>
      <c r="S42" s="54">
        <f>800/Q42</f>
        <v>3.0967741935483875</v>
      </c>
      <c r="T42" s="127">
        <f>3.68*Q42</f>
        <v>950.66666666666663</v>
      </c>
      <c r="U42" s="56">
        <f>R42-(S42*Q42*3)</f>
        <v>188766.66666666666</v>
      </c>
      <c r="V42" s="56">
        <v>37</v>
      </c>
      <c r="W42" s="56"/>
      <c r="X42" s="58"/>
    </row>
    <row r="43" spans="1:24" s="23" customFormat="1" x14ac:dyDescent="0.2">
      <c r="A43" s="22">
        <v>43195</v>
      </c>
      <c r="B43" s="22" t="s">
        <v>82</v>
      </c>
      <c r="C43" s="22" t="s">
        <v>312</v>
      </c>
      <c r="D43" s="40" t="s">
        <v>94</v>
      </c>
      <c r="E43" s="22" t="s">
        <v>97</v>
      </c>
      <c r="F43" s="24">
        <v>0.25</v>
      </c>
      <c r="G43" s="23">
        <v>920</v>
      </c>
      <c r="H43" s="23">
        <v>168</v>
      </c>
      <c r="J43" s="23">
        <v>160</v>
      </c>
      <c r="L43" s="23">
        <v>147</v>
      </c>
      <c r="N43" s="71"/>
      <c r="O43" s="71"/>
      <c r="P43" s="71"/>
      <c r="Q43" s="26">
        <f>AVERAGE(H43,J43,L43)/F43</f>
        <v>633.33333333333337</v>
      </c>
      <c r="R43" s="26">
        <f>Q43*G43</f>
        <v>582666.66666666674</v>
      </c>
      <c r="S43" s="24">
        <f>800/Q43</f>
        <v>1.263157894736842</v>
      </c>
      <c r="T43" s="27"/>
      <c r="U43" s="26">
        <f>R43-(S43*Q43*3)</f>
        <v>580266.66666666674</v>
      </c>
      <c r="V43" s="26">
        <v>38</v>
      </c>
      <c r="W43" s="26"/>
      <c r="X43" s="28"/>
    </row>
    <row r="44" spans="1:24" s="23" customFormat="1" x14ac:dyDescent="0.2">
      <c r="A44" s="22">
        <v>43195</v>
      </c>
      <c r="B44" s="22" t="s">
        <v>29</v>
      </c>
      <c r="C44" s="22" t="s">
        <v>311</v>
      </c>
      <c r="D44" s="40" t="s">
        <v>61</v>
      </c>
      <c r="E44" s="22" t="s">
        <v>136</v>
      </c>
      <c r="F44" s="24">
        <v>0.3</v>
      </c>
      <c r="G44" s="23">
        <v>645</v>
      </c>
      <c r="H44" s="23">
        <v>197</v>
      </c>
      <c r="J44" s="23">
        <v>218</v>
      </c>
      <c r="L44" s="23">
        <v>161</v>
      </c>
      <c r="N44" s="71"/>
      <c r="O44" s="71"/>
      <c r="P44" s="71"/>
      <c r="Q44" s="26">
        <f>AVERAGE(H44,J44,L44)/F44</f>
        <v>640</v>
      </c>
      <c r="R44" s="26">
        <f>Q44*G44</f>
        <v>412800</v>
      </c>
      <c r="S44" s="24">
        <f>800/Q44</f>
        <v>1.25</v>
      </c>
      <c r="T44" s="27"/>
      <c r="U44" s="26">
        <f>R44-(S44*Q44*3)</f>
        <v>410400</v>
      </c>
      <c r="V44" s="26">
        <v>39</v>
      </c>
      <c r="W44" s="26"/>
      <c r="X44" s="28"/>
    </row>
    <row r="45" spans="1:24" s="23" customFormat="1" x14ac:dyDescent="0.2">
      <c r="A45" s="22">
        <v>43195</v>
      </c>
      <c r="B45" s="22" t="s">
        <v>58</v>
      </c>
      <c r="C45" s="22" t="s">
        <v>312</v>
      </c>
      <c r="D45" s="40" t="s">
        <v>59</v>
      </c>
      <c r="E45" s="22" t="s">
        <v>136</v>
      </c>
      <c r="F45" s="24">
        <v>0.25</v>
      </c>
      <c r="G45" s="23">
        <v>900</v>
      </c>
      <c r="H45" s="23">
        <v>123</v>
      </c>
      <c r="J45" s="23">
        <v>125</v>
      </c>
      <c r="L45" s="23">
        <v>110</v>
      </c>
      <c r="N45" s="71"/>
      <c r="O45" s="71"/>
      <c r="P45" s="71"/>
      <c r="Q45" s="26">
        <f>AVERAGE(H45,J45,L45)/F45</f>
        <v>477.33333333333331</v>
      </c>
      <c r="R45" s="26">
        <f>Q45*G45</f>
        <v>429600</v>
      </c>
      <c r="S45" s="24">
        <f>800/Q45</f>
        <v>1.6759776536312849</v>
      </c>
      <c r="T45" s="27"/>
      <c r="U45" s="26">
        <f>R45-(S45*Q45*3)</f>
        <v>427200</v>
      </c>
      <c r="V45" s="26">
        <v>40</v>
      </c>
      <c r="W45" s="26"/>
      <c r="X45" s="28"/>
    </row>
    <row r="46" spans="1:24" s="23" customFormat="1" x14ac:dyDescent="0.2">
      <c r="A46" s="22">
        <v>43195</v>
      </c>
      <c r="B46" s="22" t="s">
        <v>60</v>
      </c>
      <c r="C46" s="22" t="s">
        <v>312</v>
      </c>
      <c r="D46" s="40" t="s">
        <v>66</v>
      </c>
      <c r="E46" s="22" t="s">
        <v>52</v>
      </c>
      <c r="F46" s="24">
        <v>0.5</v>
      </c>
      <c r="G46" s="23">
        <v>500</v>
      </c>
      <c r="H46" s="23">
        <v>139</v>
      </c>
      <c r="J46" s="23">
        <v>146</v>
      </c>
      <c r="L46" s="23">
        <v>123</v>
      </c>
      <c r="N46" s="71"/>
      <c r="O46" s="71"/>
      <c r="P46" s="71"/>
      <c r="Q46" s="26">
        <f>AVERAGE(H46,J46,L46)/F46</f>
        <v>272</v>
      </c>
      <c r="R46" s="26">
        <f>Q46*G46</f>
        <v>136000</v>
      </c>
      <c r="S46" s="24">
        <f>800/Q46</f>
        <v>2.9411764705882355</v>
      </c>
      <c r="T46" s="27"/>
      <c r="U46" s="26">
        <f>R46-(S46*Q46*3)</f>
        <v>133600</v>
      </c>
      <c r="V46" s="26">
        <v>41</v>
      </c>
      <c r="W46" s="26"/>
      <c r="X46" s="28"/>
    </row>
    <row r="47" spans="1:24" s="23" customFormat="1" x14ac:dyDescent="0.2">
      <c r="A47" s="22">
        <v>43195</v>
      </c>
      <c r="B47" s="22" t="s">
        <v>36</v>
      </c>
      <c r="C47" s="22" t="s">
        <v>311</v>
      </c>
      <c r="D47" s="40" t="s">
        <v>38</v>
      </c>
      <c r="E47" s="22" t="s">
        <v>167</v>
      </c>
      <c r="F47" s="24">
        <v>0.3</v>
      </c>
      <c r="G47" s="23">
        <v>735</v>
      </c>
      <c r="H47" s="23">
        <v>100</v>
      </c>
      <c r="J47" s="23">
        <v>94</v>
      </c>
      <c r="L47" s="23">
        <v>91</v>
      </c>
      <c r="N47" s="71"/>
      <c r="O47" s="71"/>
      <c r="P47" s="71"/>
      <c r="Q47" s="26">
        <f>AVERAGE(H47,J47,L47)/F47</f>
        <v>316.66666666666669</v>
      </c>
      <c r="R47" s="26">
        <f>Q47*G47</f>
        <v>232750</v>
      </c>
      <c r="S47" s="24">
        <f>800/Q47</f>
        <v>2.5263157894736841</v>
      </c>
      <c r="T47" s="27"/>
      <c r="U47" s="26">
        <f>R47-(S47*Q47*3)</f>
        <v>230350</v>
      </c>
      <c r="V47" s="26">
        <v>42</v>
      </c>
      <c r="W47" s="26"/>
      <c r="X47" s="28"/>
    </row>
    <row r="48" spans="1:24" s="23" customFormat="1" x14ac:dyDescent="0.2">
      <c r="A48" s="22">
        <v>43195</v>
      </c>
      <c r="B48" s="22" t="s">
        <v>60</v>
      </c>
      <c r="C48" s="22" t="s">
        <v>311</v>
      </c>
      <c r="D48" s="40" t="s">
        <v>65</v>
      </c>
      <c r="E48" s="22" t="s">
        <v>106</v>
      </c>
      <c r="F48" s="24">
        <v>0.3</v>
      </c>
      <c r="G48" s="23">
        <v>865</v>
      </c>
      <c r="H48" s="23">
        <v>108</v>
      </c>
      <c r="J48" s="23">
        <v>113</v>
      </c>
      <c r="L48" s="23">
        <v>121</v>
      </c>
      <c r="N48" s="71"/>
      <c r="O48" s="71"/>
      <c r="P48" s="71"/>
      <c r="Q48" s="26">
        <f>AVERAGE(H48,J48,L48)/F48</f>
        <v>380</v>
      </c>
      <c r="R48" s="26">
        <f>Q48*G48</f>
        <v>328700</v>
      </c>
      <c r="S48" s="24">
        <f>800/Q48</f>
        <v>2.1052631578947367</v>
      </c>
      <c r="T48" s="27"/>
      <c r="U48" s="26">
        <f>R48-(S48*Q48*3)</f>
        <v>326300</v>
      </c>
      <c r="V48" s="26">
        <v>43</v>
      </c>
      <c r="W48" s="26"/>
      <c r="X48" s="28"/>
    </row>
    <row r="49" spans="1:24" s="55" customFormat="1" x14ac:dyDescent="0.2">
      <c r="A49" s="52">
        <v>43196</v>
      </c>
      <c r="B49" s="52" t="s">
        <v>60</v>
      </c>
      <c r="C49" s="52" t="s">
        <v>311</v>
      </c>
      <c r="D49" s="53" t="s">
        <v>65</v>
      </c>
      <c r="E49" s="52" t="s">
        <v>52</v>
      </c>
      <c r="F49" s="54">
        <v>0.5</v>
      </c>
      <c r="G49" s="55">
        <v>495</v>
      </c>
      <c r="H49" s="55">
        <v>87</v>
      </c>
      <c r="I49" s="55">
        <v>3</v>
      </c>
      <c r="J49" s="55">
        <v>59</v>
      </c>
      <c r="K49" s="55">
        <v>0</v>
      </c>
      <c r="L49" s="55">
        <v>58</v>
      </c>
      <c r="M49" s="55">
        <v>0</v>
      </c>
      <c r="N49" s="125">
        <f>H49+I49</f>
        <v>90</v>
      </c>
      <c r="O49" s="55">
        <f>J49+K49</f>
        <v>59</v>
      </c>
      <c r="P49" s="55">
        <f>L49+M49</f>
        <v>58</v>
      </c>
      <c r="Q49" s="56">
        <f>AVERAGE(H49,J49,L49)/F49</f>
        <v>136</v>
      </c>
      <c r="R49" s="56">
        <f>Q49*G49</f>
        <v>67320</v>
      </c>
      <c r="S49" s="54">
        <f>800/Q49</f>
        <v>5.882352941176471</v>
      </c>
      <c r="T49" s="57"/>
      <c r="U49" s="56">
        <f>R49-(S49*Q49*3)</f>
        <v>64920</v>
      </c>
      <c r="V49" s="56">
        <v>44</v>
      </c>
      <c r="W49" s="56"/>
      <c r="X49" s="58"/>
    </row>
    <row r="50" spans="1:24" s="55" customFormat="1" x14ac:dyDescent="0.2">
      <c r="A50" s="52">
        <v>43196</v>
      </c>
      <c r="B50" s="52" t="s">
        <v>36</v>
      </c>
      <c r="C50" s="52" t="s">
        <v>311</v>
      </c>
      <c r="D50" s="53" t="s">
        <v>38</v>
      </c>
      <c r="E50" s="52" t="s">
        <v>52</v>
      </c>
      <c r="F50" s="54">
        <v>0.4</v>
      </c>
      <c r="G50" s="55">
        <v>530</v>
      </c>
      <c r="H50" s="55">
        <v>111</v>
      </c>
      <c r="I50" s="55">
        <v>0</v>
      </c>
      <c r="J50" s="55">
        <v>104</v>
      </c>
      <c r="K50" s="55">
        <v>0</v>
      </c>
      <c r="L50" s="55">
        <v>109</v>
      </c>
      <c r="M50" s="55">
        <v>0</v>
      </c>
      <c r="N50" s="125">
        <f>H50+I50</f>
        <v>111</v>
      </c>
      <c r="O50" s="55">
        <f>J50+K50</f>
        <v>104</v>
      </c>
      <c r="P50" s="55">
        <f>L50+M50</f>
        <v>109</v>
      </c>
      <c r="Q50" s="56">
        <f>AVERAGE(H50,J50,L50)/F50</f>
        <v>270</v>
      </c>
      <c r="R50" s="56">
        <f>Q50*G50</f>
        <v>143100</v>
      </c>
      <c r="S50" s="54">
        <f>800/Q50</f>
        <v>2.9629629629629628</v>
      </c>
      <c r="T50" s="57"/>
      <c r="U50" s="56">
        <f>R50-(S50*Q50*3)</f>
        <v>140700</v>
      </c>
      <c r="V50" s="56">
        <v>45</v>
      </c>
      <c r="W50" s="56"/>
      <c r="X50" s="58"/>
    </row>
    <row r="51" spans="1:24" s="55" customFormat="1" hidden="1" x14ac:dyDescent="0.2">
      <c r="A51" s="52">
        <v>43196</v>
      </c>
      <c r="B51" s="52" t="s">
        <v>60</v>
      </c>
      <c r="C51" s="52" t="s">
        <v>312</v>
      </c>
      <c r="D51" s="53" t="s">
        <v>66</v>
      </c>
      <c r="E51" s="52" t="s">
        <v>52</v>
      </c>
      <c r="F51" s="54">
        <v>0.7</v>
      </c>
      <c r="G51" s="55">
        <v>370</v>
      </c>
      <c r="H51" s="55">
        <v>24</v>
      </c>
      <c r="I51" s="55">
        <v>1</v>
      </c>
      <c r="J51" s="55">
        <v>17</v>
      </c>
      <c r="K51" s="55">
        <v>0</v>
      </c>
      <c r="L51" s="55">
        <v>31</v>
      </c>
      <c r="M51" s="55">
        <v>1</v>
      </c>
      <c r="N51" s="125">
        <f>H51+I51</f>
        <v>25</v>
      </c>
      <c r="O51" s="55">
        <f>J51+K51</f>
        <v>17</v>
      </c>
      <c r="P51" s="55">
        <f>L51+M51</f>
        <v>32</v>
      </c>
      <c r="Q51" s="56">
        <f>AVERAGE(H51,J51,L51)/F51</f>
        <v>34.285714285714285</v>
      </c>
      <c r="R51" s="56">
        <f>Q51*G51</f>
        <v>12685.714285714286</v>
      </c>
      <c r="S51" s="54">
        <f>800/Q51</f>
        <v>23.333333333333336</v>
      </c>
      <c r="T51" s="57"/>
      <c r="U51" s="56">
        <f>R51-(S51*Q51*3)</f>
        <v>10285.714285714286</v>
      </c>
      <c r="V51" s="56">
        <v>46</v>
      </c>
      <c r="W51" s="56"/>
      <c r="X51" s="58"/>
    </row>
    <row r="52" spans="1:24" s="55" customFormat="1" x14ac:dyDescent="0.2">
      <c r="A52" s="52">
        <v>43196</v>
      </c>
      <c r="B52" s="52" t="s">
        <v>37</v>
      </c>
      <c r="C52" s="52" t="s">
        <v>311</v>
      </c>
      <c r="D52" s="53" t="s">
        <v>67</v>
      </c>
      <c r="E52" s="52" t="s">
        <v>52</v>
      </c>
      <c r="F52" s="54">
        <v>0.25</v>
      </c>
      <c r="G52" s="55">
        <v>750</v>
      </c>
      <c r="H52" s="55">
        <v>113</v>
      </c>
      <c r="I52" s="55">
        <v>0</v>
      </c>
      <c r="J52" s="55">
        <v>111</v>
      </c>
      <c r="K52" s="55">
        <v>0</v>
      </c>
      <c r="L52" s="55">
        <v>87</v>
      </c>
      <c r="M52" s="55">
        <v>0</v>
      </c>
      <c r="N52" s="125">
        <f>H52+I52</f>
        <v>113</v>
      </c>
      <c r="O52" s="55">
        <f>J52+K52</f>
        <v>111</v>
      </c>
      <c r="P52" s="55">
        <f>L52+M52</f>
        <v>87</v>
      </c>
      <c r="Q52" s="56">
        <f>AVERAGE(H52,J52,L52)/F52</f>
        <v>414.66666666666669</v>
      </c>
      <c r="R52" s="56">
        <f>Q52*G52</f>
        <v>311000</v>
      </c>
      <c r="S52" s="54">
        <f>800/Q52</f>
        <v>1.9292604501607715</v>
      </c>
      <c r="T52" s="57">
        <f>S52*Q52</f>
        <v>800</v>
      </c>
      <c r="U52" s="56">
        <f>R52-(S52*Q52*3)</f>
        <v>308600</v>
      </c>
      <c r="V52" s="56">
        <v>47</v>
      </c>
      <c r="W52" s="56"/>
      <c r="X52" s="58"/>
    </row>
    <row r="53" spans="1:24" s="128" customFormat="1" ht="17" thickBot="1" x14ac:dyDescent="0.25">
      <c r="A53" s="220">
        <v>43196</v>
      </c>
      <c r="B53" s="220" t="s">
        <v>28</v>
      </c>
      <c r="C53" s="220" t="s">
        <v>312</v>
      </c>
      <c r="D53" s="221" t="s">
        <v>68</v>
      </c>
      <c r="E53" s="220" t="s">
        <v>98</v>
      </c>
      <c r="F53" s="222">
        <v>0.3</v>
      </c>
      <c r="G53" s="128">
        <v>660</v>
      </c>
      <c r="H53" s="128">
        <v>131</v>
      </c>
      <c r="I53" s="128">
        <v>0</v>
      </c>
      <c r="J53" s="128">
        <v>143</v>
      </c>
      <c r="K53" s="128">
        <v>0</v>
      </c>
      <c r="L53" s="128">
        <v>133</v>
      </c>
      <c r="M53" s="128">
        <v>1</v>
      </c>
      <c r="N53" s="223">
        <f>H53+I53</f>
        <v>131</v>
      </c>
      <c r="O53" s="128">
        <f>J53+K53</f>
        <v>143</v>
      </c>
      <c r="P53" s="128">
        <f>L53+M53</f>
        <v>134</v>
      </c>
      <c r="Q53" s="224">
        <f>AVERAGE(H53,J53,L53)/F53</f>
        <v>452.22222222222223</v>
      </c>
      <c r="R53" s="224">
        <f>Q53*G53</f>
        <v>298466.66666666669</v>
      </c>
      <c r="S53" s="222">
        <f>800/Q53</f>
        <v>1.769041769041769</v>
      </c>
      <c r="T53" s="225">
        <f>S53*Q53</f>
        <v>800</v>
      </c>
      <c r="U53" s="224">
        <f>R53-(S53*Q53*3)</f>
        <v>296066.66666666669</v>
      </c>
      <c r="V53" s="224">
        <v>48</v>
      </c>
      <c r="W53" s="224"/>
      <c r="X53" s="227"/>
    </row>
    <row r="54" spans="1:24" s="23" customFormat="1" hidden="1" x14ac:dyDescent="0.2">
      <c r="A54" s="22">
        <v>43197</v>
      </c>
      <c r="B54" s="22" t="s">
        <v>37</v>
      </c>
      <c r="C54" s="22" t="s">
        <v>312</v>
      </c>
      <c r="D54" s="40" t="s">
        <v>39</v>
      </c>
      <c r="E54" s="22" t="s">
        <v>52</v>
      </c>
      <c r="F54" s="24">
        <v>1</v>
      </c>
      <c r="G54" s="23">
        <v>450</v>
      </c>
      <c r="H54" s="23">
        <v>27</v>
      </c>
      <c r="I54" s="23">
        <v>0</v>
      </c>
      <c r="J54" s="23">
        <v>17</v>
      </c>
      <c r="K54" s="23">
        <v>0</v>
      </c>
      <c r="L54" s="23">
        <v>19</v>
      </c>
      <c r="M54" s="23">
        <v>0</v>
      </c>
      <c r="N54" s="71">
        <f>H54+I54</f>
        <v>27</v>
      </c>
      <c r="O54" s="71">
        <f>J54+K54</f>
        <v>17</v>
      </c>
      <c r="P54" s="71">
        <f>L54+M54</f>
        <v>19</v>
      </c>
      <c r="Q54" s="26">
        <f>AVERAGE(H54,J54,L54)/F54</f>
        <v>21</v>
      </c>
      <c r="R54" s="26">
        <f>Q54*G54</f>
        <v>9450</v>
      </c>
      <c r="S54" s="24">
        <f>800/Q54</f>
        <v>38.095238095238095</v>
      </c>
      <c r="T54" s="27"/>
      <c r="U54" s="26">
        <f>R54-(S54*Q54*3)</f>
        <v>7050</v>
      </c>
      <c r="V54" s="26">
        <v>49</v>
      </c>
      <c r="W54" s="26">
        <v>1</v>
      </c>
      <c r="X54" s="28"/>
    </row>
    <row r="55" spans="1:24" s="23" customFormat="1" x14ac:dyDescent="0.2">
      <c r="A55" s="22">
        <v>43197</v>
      </c>
      <c r="B55" s="22" t="s">
        <v>36</v>
      </c>
      <c r="C55" s="22" t="s">
        <v>311</v>
      </c>
      <c r="D55" s="40" t="s">
        <v>38</v>
      </c>
      <c r="E55" s="22" t="s">
        <v>105</v>
      </c>
      <c r="F55" s="24">
        <v>0.1</v>
      </c>
      <c r="G55" s="23">
        <v>975</v>
      </c>
      <c r="H55" s="23">
        <v>111</v>
      </c>
      <c r="I55" s="23">
        <v>2</v>
      </c>
      <c r="J55" s="23">
        <v>106</v>
      </c>
      <c r="K55" s="23">
        <v>0</v>
      </c>
      <c r="L55" s="23">
        <v>135</v>
      </c>
      <c r="M55" s="23">
        <v>0</v>
      </c>
      <c r="N55" s="71">
        <f>H55+I55</f>
        <v>113</v>
      </c>
      <c r="O55" s="71">
        <f>J55+K55</f>
        <v>106</v>
      </c>
      <c r="P55" s="71">
        <f>L55+M55</f>
        <v>135</v>
      </c>
      <c r="Q55" s="26">
        <f>AVERAGE(H55,J55,L55)/F55</f>
        <v>1173.3333333333333</v>
      </c>
      <c r="R55" s="26">
        <f>Q55*G55</f>
        <v>1144000</v>
      </c>
      <c r="S55" s="24">
        <f>800/Q55</f>
        <v>0.68181818181818188</v>
      </c>
      <c r="T55" s="27"/>
      <c r="U55" s="26">
        <f>R55-(S55*Q55*3)</f>
        <v>1141600</v>
      </c>
      <c r="V55" s="26">
        <v>50</v>
      </c>
      <c r="W55" s="26">
        <v>3</v>
      </c>
      <c r="X55" s="28"/>
    </row>
    <row r="56" spans="1:24" s="23" customFormat="1" x14ac:dyDescent="0.2">
      <c r="A56" s="22">
        <v>43197</v>
      </c>
      <c r="B56" s="22" t="s">
        <v>36</v>
      </c>
      <c r="C56" s="22" t="s">
        <v>312</v>
      </c>
      <c r="D56" s="40" t="s">
        <v>42</v>
      </c>
      <c r="E56" s="22" t="s">
        <v>121</v>
      </c>
      <c r="F56" s="24">
        <v>0.3</v>
      </c>
      <c r="G56" s="23">
        <v>700</v>
      </c>
      <c r="H56" s="23">
        <v>81</v>
      </c>
      <c r="I56" s="23">
        <v>3</v>
      </c>
      <c r="J56" s="23">
        <v>69</v>
      </c>
      <c r="K56" s="23">
        <v>5</v>
      </c>
      <c r="L56" s="23">
        <v>79</v>
      </c>
      <c r="M56" s="23">
        <v>3</v>
      </c>
      <c r="N56" s="71">
        <f>H56+I56</f>
        <v>84</v>
      </c>
      <c r="O56" s="71">
        <f>J56+K56</f>
        <v>74</v>
      </c>
      <c r="P56" s="71">
        <f>L56+M56</f>
        <v>82</v>
      </c>
      <c r="Q56" s="26">
        <f>AVERAGE(H56,J56,L56)/F56</f>
        <v>254.44444444444443</v>
      </c>
      <c r="R56" s="26">
        <f>Q56*G56</f>
        <v>178111.11111111109</v>
      </c>
      <c r="S56" s="24">
        <f>800/Q56</f>
        <v>3.14410480349345</v>
      </c>
      <c r="T56" s="27"/>
      <c r="U56" s="26">
        <f>R56-(S56*Q56*3)</f>
        <v>175711.11111111109</v>
      </c>
      <c r="V56" s="26">
        <v>51</v>
      </c>
      <c r="W56" s="26">
        <v>1</v>
      </c>
      <c r="X56" s="28"/>
    </row>
    <row r="57" spans="1:24" s="23" customFormat="1" x14ac:dyDescent="0.2">
      <c r="A57" s="22">
        <v>43197</v>
      </c>
      <c r="B57" s="22" t="s">
        <v>60</v>
      </c>
      <c r="C57" s="22" t="s">
        <v>312</v>
      </c>
      <c r="D57" s="40" t="s">
        <v>66</v>
      </c>
      <c r="E57" s="22" t="s">
        <v>108</v>
      </c>
      <c r="F57" s="24">
        <v>0.2</v>
      </c>
      <c r="G57" s="23">
        <v>750</v>
      </c>
      <c r="H57" s="23">
        <v>81</v>
      </c>
      <c r="I57" s="23">
        <v>0</v>
      </c>
      <c r="J57" s="23">
        <v>89</v>
      </c>
      <c r="K57" s="23">
        <v>0</v>
      </c>
      <c r="L57" s="23">
        <v>104</v>
      </c>
      <c r="M57" s="23">
        <v>0</v>
      </c>
      <c r="N57" s="71">
        <f>H57+I57</f>
        <v>81</v>
      </c>
      <c r="O57" s="71">
        <f>J57+K57</f>
        <v>89</v>
      </c>
      <c r="P57" s="71">
        <f>L57+M57</f>
        <v>104</v>
      </c>
      <c r="Q57" s="26">
        <f>AVERAGE(H57,J57,L57)/F57</f>
        <v>456.66666666666663</v>
      </c>
      <c r="R57" s="26">
        <f>Q57*G57</f>
        <v>342500</v>
      </c>
      <c r="S57" s="24">
        <f>800/Q57</f>
        <v>1.7518248175182483</v>
      </c>
      <c r="T57" s="27"/>
      <c r="U57" s="26">
        <f>R57-(S57*Q57*3)</f>
        <v>340100</v>
      </c>
      <c r="V57" s="26">
        <v>52</v>
      </c>
      <c r="W57" s="26">
        <v>1</v>
      </c>
      <c r="X57" s="28"/>
    </row>
    <row r="58" spans="1:24" s="23" customFormat="1" x14ac:dyDescent="0.2">
      <c r="A58" s="22">
        <v>43197</v>
      </c>
      <c r="B58" s="22" t="s">
        <v>83</v>
      </c>
      <c r="C58" s="22" t="s">
        <v>312</v>
      </c>
      <c r="D58" s="40" t="s">
        <v>95</v>
      </c>
      <c r="E58" s="22" t="s">
        <v>115</v>
      </c>
      <c r="F58" s="24">
        <v>0.7</v>
      </c>
      <c r="G58" s="23">
        <v>490</v>
      </c>
      <c r="H58" s="23">
        <v>137</v>
      </c>
      <c r="I58" s="23">
        <v>0</v>
      </c>
      <c r="J58" s="23">
        <v>124</v>
      </c>
      <c r="K58" s="23">
        <v>0</v>
      </c>
      <c r="L58" s="23">
        <v>133</v>
      </c>
      <c r="M58" s="23">
        <v>1</v>
      </c>
      <c r="N58" s="71">
        <f>H58+I58</f>
        <v>137</v>
      </c>
      <c r="O58" s="71">
        <f>J58+K58</f>
        <v>124</v>
      </c>
      <c r="P58" s="71">
        <f>L58+M58</f>
        <v>134</v>
      </c>
      <c r="Q58" s="26">
        <f>AVERAGE(H58,J58,L58)/F58</f>
        <v>187.61904761904765</v>
      </c>
      <c r="R58" s="26">
        <f>Q58*G58</f>
        <v>91933.333333333343</v>
      </c>
      <c r="S58" s="24">
        <f>800/Q58</f>
        <v>4.2639593908629436</v>
      </c>
      <c r="T58" s="27"/>
      <c r="U58" s="26">
        <f>R58-(S58*Q58*3)</f>
        <v>89533.333333333343</v>
      </c>
      <c r="V58" s="26">
        <v>53</v>
      </c>
      <c r="W58" s="26">
        <v>1</v>
      </c>
      <c r="X58" s="28"/>
    </row>
    <row r="59" spans="1:24" s="23" customFormat="1" hidden="1" x14ac:dyDescent="0.2">
      <c r="A59" s="22">
        <v>43197</v>
      </c>
      <c r="B59" s="22" t="s">
        <v>37</v>
      </c>
      <c r="C59" s="22" t="s">
        <v>311</v>
      </c>
      <c r="D59" s="40" t="s">
        <v>67</v>
      </c>
      <c r="E59" s="22" t="s">
        <v>52</v>
      </c>
      <c r="F59" s="24">
        <v>1</v>
      </c>
      <c r="G59" s="23">
        <v>470</v>
      </c>
      <c r="H59" s="23">
        <v>26</v>
      </c>
      <c r="I59" s="23">
        <v>0</v>
      </c>
      <c r="J59" s="23">
        <v>21</v>
      </c>
      <c r="K59" s="23">
        <v>0</v>
      </c>
      <c r="L59" s="23">
        <v>19</v>
      </c>
      <c r="M59" s="23">
        <v>0</v>
      </c>
      <c r="N59" s="71">
        <f>H59+I59</f>
        <v>26</v>
      </c>
      <c r="O59" s="71">
        <f>J59+K59</f>
        <v>21</v>
      </c>
      <c r="P59" s="71">
        <f>L59+M59</f>
        <v>19</v>
      </c>
      <c r="Q59" s="26">
        <f>AVERAGE(H59,J59,L59)/F59</f>
        <v>22</v>
      </c>
      <c r="R59" s="26">
        <f>Q59*G59</f>
        <v>10340</v>
      </c>
      <c r="S59" s="24">
        <f>800/Q59</f>
        <v>36.363636363636367</v>
      </c>
      <c r="T59" s="27"/>
      <c r="U59" s="26">
        <f>R59-(S59*Q59*3)</f>
        <v>7940</v>
      </c>
      <c r="V59" s="26">
        <v>54</v>
      </c>
      <c r="W59" s="26">
        <v>1</v>
      </c>
      <c r="X59" s="28"/>
    </row>
    <row r="60" spans="1:24" s="23" customFormat="1" hidden="1" x14ac:dyDescent="0.2">
      <c r="A60" s="22">
        <v>43197</v>
      </c>
      <c r="B60" s="22" t="s">
        <v>28</v>
      </c>
      <c r="C60" s="22" t="s">
        <v>312</v>
      </c>
      <c r="D60" s="40" t="s">
        <v>68</v>
      </c>
      <c r="E60" s="22" t="s">
        <v>52</v>
      </c>
      <c r="F60" s="24">
        <v>1</v>
      </c>
      <c r="G60" s="23">
        <v>460</v>
      </c>
      <c r="H60" s="23">
        <v>53</v>
      </c>
      <c r="I60" s="23">
        <v>0</v>
      </c>
      <c r="J60" s="23">
        <v>61</v>
      </c>
      <c r="K60" s="23">
        <v>0</v>
      </c>
      <c r="L60" s="23">
        <v>59</v>
      </c>
      <c r="M60" s="23">
        <v>1</v>
      </c>
      <c r="N60" s="71">
        <f>H60+I60</f>
        <v>53</v>
      </c>
      <c r="O60" s="71">
        <f>J60+K60</f>
        <v>61</v>
      </c>
      <c r="P60" s="71">
        <f>L60+M60</f>
        <v>60</v>
      </c>
      <c r="Q60" s="26">
        <f>AVERAGE(H60,J60,L60)/F60</f>
        <v>57.666666666666664</v>
      </c>
      <c r="R60" s="26">
        <f>Q60*G60</f>
        <v>26526.666666666664</v>
      </c>
      <c r="S60" s="24">
        <f>800/Q60</f>
        <v>13.872832369942197</v>
      </c>
      <c r="T60" s="27"/>
      <c r="U60" s="26">
        <f>R60-(S60*Q60*3)</f>
        <v>24126.666666666664</v>
      </c>
      <c r="V60" s="26">
        <v>55</v>
      </c>
      <c r="W60" s="26">
        <v>1</v>
      </c>
      <c r="X60" s="28"/>
    </row>
    <row r="61" spans="1:24" s="23" customFormat="1" x14ac:dyDescent="0.2">
      <c r="A61" s="22">
        <v>43197</v>
      </c>
      <c r="B61" s="22" t="s">
        <v>58</v>
      </c>
      <c r="C61" s="22" t="s">
        <v>311</v>
      </c>
      <c r="D61" s="40" t="s">
        <v>69</v>
      </c>
      <c r="E61" s="22" t="s">
        <v>116</v>
      </c>
      <c r="F61" s="24">
        <v>0.5</v>
      </c>
      <c r="G61" s="23">
        <v>600</v>
      </c>
      <c r="H61" s="23">
        <v>66</v>
      </c>
      <c r="I61" s="23">
        <v>1</v>
      </c>
      <c r="J61" s="23">
        <v>88</v>
      </c>
      <c r="K61" s="23">
        <v>0</v>
      </c>
      <c r="L61" s="23">
        <v>82</v>
      </c>
      <c r="M61" s="23">
        <v>0</v>
      </c>
      <c r="N61" s="71">
        <f>H61+I61</f>
        <v>67</v>
      </c>
      <c r="O61" s="71">
        <f>J61+K61</f>
        <v>88</v>
      </c>
      <c r="P61" s="71">
        <f>L61+M61</f>
        <v>82</v>
      </c>
      <c r="Q61" s="26">
        <f>AVERAGE(H61,J61,L61)/F61</f>
        <v>157.33333333333334</v>
      </c>
      <c r="R61" s="26">
        <f>Q61*G61</f>
        <v>94400</v>
      </c>
      <c r="S61" s="24">
        <f>800/Q61</f>
        <v>5.0847457627118642</v>
      </c>
      <c r="T61" s="27"/>
      <c r="U61" s="26">
        <f>R61-(S61*Q61*3)</f>
        <v>92000</v>
      </c>
      <c r="V61" s="26">
        <v>56</v>
      </c>
      <c r="W61" s="26">
        <v>1</v>
      </c>
      <c r="X61" s="28"/>
    </row>
    <row r="62" spans="1:24" s="23" customFormat="1" x14ac:dyDescent="0.2">
      <c r="A62" s="22">
        <v>43197</v>
      </c>
      <c r="B62" s="22" t="s">
        <v>82</v>
      </c>
      <c r="C62" s="22" t="s">
        <v>311</v>
      </c>
      <c r="D62" s="40" t="s">
        <v>113</v>
      </c>
      <c r="E62" s="22" t="s">
        <v>117</v>
      </c>
      <c r="F62" s="24">
        <v>0.5</v>
      </c>
      <c r="G62" s="23">
        <v>740</v>
      </c>
      <c r="H62" s="23">
        <v>115</v>
      </c>
      <c r="I62" s="23">
        <v>0</v>
      </c>
      <c r="J62" s="23">
        <v>100</v>
      </c>
      <c r="K62" s="23">
        <v>0</v>
      </c>
      <c r="L62" s="23">
        <v>91</v>
      </c>
      <c r="M62" s="23">
        <v>0</v>
      </c>
      <c r="N62" s="71">
        <f>H62+I62</f>
        <v>115</v>
      </c>
      <c r="O62" s="71">
        <f>J62+K62</f>
        <v>100</v>
      </c>
      <c r="P62" s="71">
        <f>L62+M62</f>
        <v>91</v>
      </c>
      <c r="Q62" s="26">
        <f>AVERAGE(H62,J62,L62)/F62</f>
        <v>204</v>
      </c>
      <c r="R62" s="26">
        <f>Q62*G62</f>
        <v>150960</v>
      </c>
      <c r="S62" s="24">
        <f>800/Q62</f>
        <v>3.9215686274509802</v>
      </c>
      <c r="T62" s="27"/>
      <c r="U62" s="26">
        <f>R62-(S62*Q62*3)</f>
        <v>148560</v>
      </c>
      <c r="V62" s="26">
        <v>57</v>
      </c>
      <c r="W62" s="26">
        <v>1</v>
      </c>
      <c r="X62" s="28"/>
    </row>
    <row r="63" spans="1:24" s="23" customFormat="1" x14ac:dyDescent="0.2">
      <c r="A63" s="22">
        <v>43197</v>
      </c>
      <c r="B63" s="22" t="s">
        <v>58</v>
      </c>
      <c r="C63" s="22" t="s">
        <v>312</v>
      </c>
      <c r="D63" s="40" t="s">
        <v>59</v>
      </c>
      <c r="E63" s="22" t="s">
        <v>118</v>
      </c>
      <c r="F63" s="24">
        <v>0.1</v>
      </c>
      <c r="G63" s="23">
        <v>975</v>
      </c>
      <c r="H63" s="23">
        <v>98</v>
      </c>
      <c r="I63" s="23">
        <v>0</v>
      </c>
      <c r="J63" s="23">
        <v>93</v>
      </c>
      <c r="K63" s="23">
        <v>0</v>
      </c>
      <c r="L63" s="23">
        <v>99</v>
      </c>
      <c r="M63" s="23">
        <v>0</v>
      </c>
      <c r="N63" s="71">
        <f>H63+I63</f>
        <v>98</v>
      </c>
      <c r="O63" s="71">
        <f>J63+K63</f>
        <v>93</v>
      </c>
      <c r="P63" s="71">
        <f>L63+M63</f>
        <v>99</v>
      </c>
      <c r="Q63" s="26">
        <f>AVERAGE(H63,J63,L63)/F63</f>
        <v>966.66666666666663</v>
      </c>
      <c r="R63" s="26">
        <f>Q63*G63</f>
        <v>942500</v>
      </c>
      <c r="S63" s="24">
        <f>800/Q63</f>
        <v>0.82758620689655171</v>
      </c>
      <c r="T63" s="27"/>
      <c r="U63" s="26">
        <f>R63-(S63*Q63*3)</f>
        <v>940100</v>
      </c>
      <c r="V63" s="26">
        <v>58</v>
      </c>
      <c r="W63" s="26">
        <v>3</v>
      </c>
      <c r="X63" s="28"/>
    </row>
    <row r="64" spans="1:24" s="23" customFormat="1" hidden="1" x14ac:dyDescent="0.2">
      <c r="A64" s="22">
        <v>43197</v>
      </c>
      <c r="B64" s="22" t="s">
        <v>29</v>
      </c>
      <c r="C64" s="22" t="s">
        <v>311</v>
      </c>
      <c r="D64" s="40" t="s">
        <v>61</v>
      </c>
      <c r="E64" s="22" t="s">
        <v>52</v>
      </c>
      <c r="F64" s="24">
        <v>0.5</v>
      </c>
      <c r="G64" s="23">
        <v>520</v>
      </c>
      <c r="H64" s="23">
        <v>36</v>
      </c>
      <c r="I64" s="23">
        <v>0</v>
      </c>
      <c r="J64" s="23">
        <v>28</v>
      </c>
      <c r="K64" s="23">
        <v>1</v>
      </c>
      <c r="L64" s="23">
        <v>33</v>
      </c>
      <c r="M64" s="23">
        <v>0</v>
      </c>
      <c r="N64" s="71">
        <f>H64+I64</f>
        <v>36</v>
      </c>
      <c r="O64" s="71">
        <f>J64+K64</f>
        <v>29</v>
      </c>
      <c r="P64" s="71">
        <f>L64+M64</f>
        <v>33</v>
      </c>
      <c r="Q64" s="26">
        <f>AVERAGE(H64,J64,L64)/F64</f>
        <v>64.666666666666671</v>
      </c>
      <c r="R64" s="26">
        <f>Q64*G64</f>
        <v>33626.666666666672</v>
      </c>
      <c r="S64" s="24">
        <f>800/Q64</f>
        <v>12.371134020618555</v>
      </c>
      <c r="T64" s="27"/>
      <c r="U64" s="26">
        <f>R64-(S64*Q64*3)</f>
        <v>31226.666666666672</v>
      </c>
      <c r="V64" s="26">
        <v>59</v>
      </c>
      <c r="W64" s="26">
        <v>1</v>
      </c>
      <c r="X64" s="28"/>
    </row>
    <row r="65" spans="1:25" s="23" customFormat="1" hidden="1" x14ac:dyDescent="0.2">
      <c r="A65" s="22">
        <v>43197</v>
      </c>
      <c r="B65" s="22" t="s">
        <v>82</v>
      </c>
      <c r="C65" s="22" t="s">
        <v>312</v>
      </c>
      <c r="D65" s="40" t="s">
        <v>94</v>
      </c>
      <c r="E65" s="22" t="s">
        <v>52</v>
      </c>
      <c r="F65" s="24">
        <v>0.5</v>
      </c>
      <c r="G65" s="23">
        <v>450</v>
      </c>
      <c r="H65" s="23">
        <v>29</v>
      </c>
      <c r="I65" s="23">
        <v>0</v>
      </c>
      <c r="J65" s="23">
        <v>27</v>
      </c>
      <c r="K65" s="23">
        <v>0</v>
      </c>
      <c r="L65" s="23">
        <v>24</v>
      </c>
      <c r="M65" s="23">
        <v>0</v>
      </c>
      <c r="N65" s="71">
        <f>H65+I65</f>
        <v>29</v>
      </c>
      <c r="O65" s="71">
        <f>J65+K65</f>
        <v>27</v>
      </c>
      <c r="P65" s="71">
        <f>L65+M65</f>
        <v>24</v>
      </c>
      <c r="Q65" s="26">
        <f>AVERAGE(H65,J65,L65)/F65</f>
        <v>53.333333333333336</v>
      </c>
      <c r="R65" s="26">
        <f>Q65*G65</f>
        <v>24000</v>
      </c>
      <c r="S65" s="24">
        <f>800/Q65</f>
        <v>15</v>
      </c>
      <c r="T65" s="27"/>
      <c r="U65" s="26">
        <f>R65-(S65*Q65*3)</f>
        <v>21600</v>
      </c>
      <c r="V65" s="26">
        <v>60</v>
      </c>
      <c r="W65" s="26">
        <v>1</v>
      </c>
      <c r="X65" s="28"/>
    </row>
    <row r="66" spans="1:25" s="23" customFormat="1" hidden="1" x14ac:dyDescent="0.2">
      <c r="A66" s="22">
        <v>43197</v>
      </c>
      <c r="B66" s="22" t="s">
        <v>28</v>
      </c>
      <c r="C66" s="22" t="s">
        <v>311</v>
      </c>
      <c r="D66" s="40" t="s">
        <v>77</v>
      </c>
      <c r="E66" s="22" t="s">
        <v>52</v>
      </c>
      <c r="F66" s="24">
        <v>0.5</v>
      </c>
      <c r="G66" s="23">
        <v>450</v>
      </c>
      <c r="H66" s="23">
        <v>16</v>
      </c>
      <c r="I66" s="23">
        <v>3</v>
      </c>
      <c r="J66" s="23">
        <v>10</v>
      </c>
      <c r="K66" s="23">
        <v>12</v>
      </c>
      <c r="L66" s="23">
        <v>6</v>
      </c>
      <c r="M66" s="23">
        <v>9</v>
      </c>
      <c r="N66" s="71">
        <f>H66+I66</f>
        <v>19</v>
      </c>
      <c r="O66" s="71">
        <f>J66+K66</f>
        <v>22</v>
      </c>
      <c r="P66" s="71">
        <f>L66+M66</f>
        <v>15</v>
      </c>
      <c r="Q66" s="26">
        <f>AVERAGE(H66,J66,L66)/F66</f>
        <v>21.333333333333332</v>
      </c>
      <c r="R66" s="26">
        <f>Q66*G66</f>
        <v>9600</v>
      </c>
      <c r="S66" s="24">
        <f>800/Q66</f>
        <v>37.5</v>
      </c>
      <c r="T66" s="27"/>
      <c r="U66" s="26">
        <f>R66-(S66*Q66*3)</f>
        <v>7200</v>
      </c>
      <c r="V66" s="26">
        <v>61</v>
      </c>
      <c r="W66" s="26">
        <v>1</v>
      </c>
      <c r="X66" s="28"/>
    </row>
    <row r="67" spans="1:25" s="67" customFormat="1" x14ac:dyDescent="0.2">
      <c r="A67" s="75">
        <v>43198</v>
      </c>
      <c r="B67" s="75" t="s">
        <v>60</v>
      </c>
      <c r="C67" s="75" t="s">
        <v>311</v>
      </c>
      <c r="D67" s="76" t="s">
        <v>65</v>
      </c>
      <c r="E67" s="75" t="s">
        <v>122</v>
      </c>
      <c r="F67" s="77">
        <v>0.1</v>
      </c>
      <c r="G67" s="67">
        <v>970</v>
      </c>
      <c r="H67" s="67">
        <v>124</v>
      </c>
      <c r="I67" s="67">
        <v>0</v>
      </c>
      <c r="J67" s="67">
        <v>114</v>
      </c>
      <c r="K67" s="67">
        <v>0</v>
      </c>
      <c r="L67" s="67">
        <v>122</v>
      </c>
      <c r="M67" s="67">
        <v>0</v>
      </c>
      <c r="N67" s="67">
        <f>H67+I67</f>
        <v>124</v>
      </c>
      <c r="O67" s="67">
        <f>J67+K67</f>
        <v>114</v>
      </c>
      <c r="P67" s="67">
        <f>L67+M67</f>
        <v>122</v>
      </c>
      <c r="Q67" s="78">
        <f>AVERAGE(H67,J67,L67)/F67</f>
        <v>1200</v>
      </c>
      <c r="R67" s="78">
        <f>Q67*G67</f>
        <v>1164000</v>
      </c>
      <c r="S67" s="77">
        <f>800/Q67</f>
        <v>0.66666666666666663</v>
      </c>
      <c r="T67" s="80"/>
      <c r="U67" s="78">
        <f>R67-(S67*Q67*3)</f>
        <v>1161600</v>
      </c>
      <c r="V67" s="78">
        <v>62</v>
      </c>
      <c r="W67" s="78">
        <v>3</v>
      </c>
      <c r="X67" s="79"/>
    </row>
    <row r="68" spans="1:25" s="67" customFormat="1" x14ac:dyDescent="0.2">
      <c r="A68" s="75">
        <v>43198</v>
      </c>
      <c r="B68" s="75" t="s">
        <v>37</v>
      </c>
      <c r="C68" s="75" t="s">
        <v>312</v>
      </c>
      <c r="D68" s="76" t="s">
        <v>39</v>
      </c>
      <c r="E68" s="75" t="s">
        <v>114</v>
      </c>
      <c r="F68" s="77">
        <v>0.1</v>
      </c>
      <c r="G68" s="67">
        <v>970</v>
      </c>
      <c r="H68" s="67">
        <v>203</v>
      </c>
      <c r="I68" s="67">
        <v>0</v>
      </c>
      <c r="J68" s="67">
        <v>218</v>
      </c>
      <c r="K68" s="67">
        <v>0</v>
      </c>
      <c r="L68" s="67">
        <v>219</v>
      </c>
      <c r="M68" s="67">
        <v>0</v>
      </c>
      <c r="N68" s="67">
        <f>H68+I68</f>
        <v>203</v>
      </c>
      <c r="O68" s="67">
        <f>J68+K68</f>
        <v>218</v>
      </c>
      <c r="P68" s="67">
        <f>L68+M68</f>
        <v>219</v>
      </c>
      <c r="Q68" s="78">
        <f>AVERAGE(H68,J68,L68)/F68</f>
        <v>2133.3333333333335</v>
      </c>
      <c r="R68" s="78">
        <f>Q68*G68</f>
        <v>2069333.3333333335</v>
      </c>
      <c r="S68" s="77">
        <f>800/Q68</f>
        <v>0.375</v>
      </c>
      <c r="T68" s="80"/>
      <c r="U68" s="78">
        <f>R68-(S68*Q68*3)</f>
        <v>2066933.3333333335</v>
      </c>
      <c r="V68" s="78">
        <v>63</v>
      </c>
      <c r="W68" s="78">
        <v>4</v>
      </c>
      <c r="X68" s="79"/>
    </row>
    <row r="69" spans="1:25" s="67" customFormat="1" x14ac:dyDescent="0.2">
      <c r="A69" s="75">
        <v>43198</v>
      </c>
      <c r="B69" s="75" t="s">
        <v>36</v>
      </c>
      <c r="C69" s="75" t="s">
        <v>312</v>
      </c>
      <c r="D69" s="76" t="s">
        <v>42</v>
      </c>
      <c r="E69" s="75" t="s">
        <v>52</v>
      </c>
      <c r="F69" s="77">
        <v>0.4</v>
      </c>
      <c r="G69" s="67">
        <v>490</v>
      </c>
      <c r="H69" s="67">
        <v>245</v>
      </c>
      <c r="I69" s="67">
        <v>1</v>
      </c>
      <c r="J69" s="67">
        <v>267</v>
      </c>
      <c r="K69" s="67">
        <v>1</v>
      </c>
      <c r="L69" s="67">
        <v>245</v>
      </c>
      <c r="M69" s="67">
        <v>1</v>
      </c>
      <c r="N69" s="67">
        <f>H69+I69</f>
        <v>246</v>
      </c>
      <c r="O69" s="67">
        <f>J69+K69</f>
        <v>268</v>
      </c>
      <c r="P69" s="67">
        <f>L69+M69</f>
        <v>246</v>
      </c>
      <c r="Q69" s="78">
        <f>AVERAGE(H69,J69,L69)/F69</f>
        <v>630.83333333333337</v>
      </c>
      <c r="R69" s="78">
        <f>Q69*G69</f>
        <v>309108.33333333337</v>
      </c>
      <c r="S69" s="77">
        <f>800/Q69</f>
        <v>1.2681638044914134</v>
      </c>
      <c r="T69" s="80"/>
      <c r="U69" s="78">
        <f>R69-(S69*Q69*3)</f>
        <v>306708.33333333337</v>
      </c>
      <c r="V69" s="78">
        <v>64</v>
      </c>
      <c r="W69" s="78">
        <v>1</v>
      </c>
      <c r="X69" s="79"/>
    </row>
    <row r="70" spans="1:25" s="67" customFormat="1" x14ac:dyDescent="0.2">
      <c r="A70" s="75">
        <v>43198</v>
      </c>
      <c r="B70" s="75" t="s">
        <v>60</v>
      </c>
      <c r="C70" s="75" t="s">
        <v>312</v>
      </c>
      <c r="D70" s="76" t="s">
        <v>66</v>
      </c>
      <c r="E70" s="75" t="s">
        <v>52</v>
      </c>
      <c r="F70" s="77">
        <v>0.3</v>
      </c>
      <c r="G70" s="67">
        <v>790</v>
      </c>
      <c r="H70" s="67">
        <v>193</v>
      </c>
      <c r="I70" s="67">
        <v>0</v>
      </c>
      <c r="J70" s="67">
        <v>214</v>
      </c>
      <c r="K70" s="67">
        <v>0</v>
      </c>
      <c r="L70" s="67">
        <v>205</v>
      </c>
      <c r="M70" s="67">
        <v>0</v>
      </c>
      <c r="N70" s="67">
        <f>H70+I70</f>
        <v>193</v>
      </c>
      <c r="O70" s="67">
        <f>J70+K70</f>
        <v>214</v>
      </c>
      <c r="P70" s="67">
        <f>L70+M70</f>
        <v>205</v>
      </c>
      <c r="Q70" s="78">
        <f>AVERAGE(H70,J70,L70)/F70</f>
        <v>680</v>
      </c>
      <c r="R70" s="78">
        <f>Q70*G70</f>
        <v>537200</v>
      </c>
      <c r="S70" s="77">
        <f>800/Q70</f>
        <v>1.1764705882352942</v>
      </c>
      <c r="T70" s="80"/>
      <c r="U70" s="78">
        <f>R70-(S70*Q70*3)</f>
        <v>534800</v>
      </c>
      <c r="V70" s="78">
        <v>65</v>
      </c>
      <c r="W70" s="78">
        <v>2</v>
      </c>
      <c r="X70" s="79"/>
    </row>
    <row r="71" spans="1:25" s="67" customFormat="1" x14ac:dyDescent="0.2">
      <c r="A71" s="75">
        <v>43198</v>
      </c>
      <c r="B71" s="75" t="s">
        <v>83</v>
      </c>
      <c r="C71" s="75" t="s">
        <v>312</v>
      </c>
      <c r="D71" s="76" t="s">
        <v>95</v>
      </c>
      <c r="E71" s="75" t="s">
        <v>52</v>
      </c>
      <c r="F71" s="81">
        <v>0.3</v>
      </c>
      <c r="G71" s="68">
        <v>810</v>
      </c>
      <c r="H71" s="68">
        <v>116</v>
      </c>
      <c r="I71" s="68">
        <v>0</v>
      </c>
      <c r="J71" s="68">
        <v>130</v>
      </c>
      <c r="K71" s="68">
        <v>0</v>
      </c>
      <c r="L71" s="68">
        <v>133</v>
      </c>
      <c r="M71" s="68">
        <v>0</v>
      </c>
      <c r="N71" s="67">
        <f>H71+I71</f>
        <v>116</v>
      </c>
      <c r="O71" s="67">
        <f>J71+K71</f>
        <v>130</v>
      </c>
      <c r="P71" s="67">
        <f>L71+M71</f>
        <v>133</v>
      </c>
      <c r="Q71" s="78">
        <f>AVERAGE(H71,J71,L71)/F71</f>
        <v>421.11111111111109</v>
      </c>
      <c r="R71" s="82">
        <f>Q71*G71</f>
        <v>341100</v>
      </c>
      <c r="S71" s="77">
        <f>800/Q71</f>
        <v>1.8997361477572561</v>
      </c>
      <c r="T71" s="80"/>
      <c r="U71" s="78">
        <f>R71-(S71*Q71*3)</f>
        <v>338700</v>
      </c>
      <c r="V71" s="78">
        <v>66</v>
      </c>
      <c r="W71" s="78">
        <v>1</v>
      </c>
      <c r="X71" s="83"/>
      <c r="Y71" s="68"/>
    </row>
    <row r="72" spans="1:25" s="68" customFormat="1" x14ac:dyDescent="0.2">
      <c r="A72" s="75">
        <v>43198</v>
      </c>
      <c r="B72" s="75" t="s">
        <v>37</v>
      </c>
      <c r="C72" s="75" t="s">
        <v>311</v>
      </c>
      <c r="D72" s="76" t="s">
        <v>67</v>
      </c>
      <c r="E72" s="75" t="s">
        <v>123</v>
      </c>
      <c r="F72" s="77">
        <v>0.1</v>
      </c>
      <c r="G72" s="67">
        <v>925</v>
      </c>
      <c r="H72" s="67">
        <v>135</v>
      </c>
      <c r="I72" s="68">
        <v>0</v>
      </c>
      <c r="J72" s="67">
        <v>170</v>
      </c>
      <c r="K72" s="68">
        <v>0</v>
      </c>
      <c r="L72" s="67">
        <v>139</v>
      </c>
      <c r="M72" s="68">
        <v>0</v>
      </c>
      <c r="N72" s="67">
        <f>H72+I72</f>
        <v>135</v>
      </c>
      <c r="O72" s="67">
        <f>J72+K72</f>
        <v>170</v>
      </c>
      <c r="P72" s="67">
        <f>L72+M72</f>
        <v>139</v>
      </c>
      <c r="Q72" s="78">
        <f>AVERAGE(H72,J72,L72)/F72</f>
        <v>1480</v>
      </c>
      <c r="R72" s="78">
        <f>Q72*G72</f>
        <v>1369000</v>
      </c>
      <c r="S72" s="77">
        <f>800/Q72</f>
        <v>0.54054054054054057</v>
      </c>
      <c r="T72" s="80"/>
      <c r="U72" s="78">
        <f>R72-(S72*Q72*3)</f>
        <v>1366600</v>
      </c>
      <c r="V72" s="78">
        <v>67</v>
      </c>
      <c r="W72" s="78">
        <v>3</v>
      </c>
      <c r="X72" s="79"/>
      <c r="Y72" s="67"/>
    </row>
    <row r="73" spans="1:25" s="68" customFormat="1" x14ac:dyDescent="0.2">
      <c r="A73" s="75">
        <v>43198</v>
      </c>
      <c r="B73" s="75" t="s">
        <v>82</v>
      </c>
      <c r="C73" s="75" t="s">
        <v>311</v>
      </c>
      <c r="D73" s="76" t="s">
        <v>113</v>
      </c>
      <c r="E73" s="75" t="s">
        <v>52</v>
      </c>
      <c r="F73" s="81">
        <v>0.1</v>
      </c>
      <c r="G73" s="68">
        <v>980</v>
      </c>
      <c r="H73" s="68">
        <v>103</v>
      </c>
      <c r="I73" s="68">
        <v>0</v>
      </c>
      <c r="J73" s="68">
        <v>134</v>
      </c>
      <c r="K73" s="68">
        <v>0</v>
      </c>
      <c r="L73" s="68">
        <v>107</v>
      </c>
      <c r="M73" s="68">
        <v>0</v>
      </c>
      <c r="N73" s="67">
        <f>H73+I73</f>
        <v>103</v>
      </c>
      <c r="O73" s="67">
        <f>J73+K73</f>
        <v>134</v>
      </c>
      <c r="P73" s="67">
        <f>L73+M73</f>
        <v>107</v>
      </c>
      <c r="Q73" s="78">
        <f>AVERAGE(H73,J73,L73)/F73</f>
        <v>1146.6666666666667</v>
      </c>
      <c r="R73" s="82">
        <f>Q73*G73</f>
        <v>1123733.3333333335</v>
      </c>
      <c r="S73" s="77">
        <f>800/Q73</f>
        <v>0.69767441860465107</v>
      </c>
      <c r="T73" s="80"/>
      <c r="U73" s="78">
        <f>R73-(S73*Q73*3)</f>
        <v>1121333.3333333335</v>
      </c>
      <c r="V73" s="78">
        <v>68</v>
      </c>
      <c r="W73" s="78">
        <v>3</v>
      </c>
      <c r="X73" s="84"/>
    </row>
    <row r="74" spans="1:25" s="68" customFormat="1" x14ac:dyDescent="0.2">
      <c r="A74" s="75">
        <v>43198</v>
      </c>
      <c r="B74" s="75" t="s">
        <v>58</v>
      </c>
      <c r="C74" s="75" t="s">
        <v>312</v>
      </c>
      <c r="D74" s="76" t="s">
        <v>59</v>
      </c>
      <c r="E74" s="75" t="s">
        <v>52</v>
      </c>
      <c r="F74" s="81">
        <v>0.4</v>
      </c>
      <c r="G74" s="68">
        <v>630</v>
      </c>
      <c r="H74" s="68">
        <v>113</v>
      </c>
      <c r="I74" s="68">
        <v>0</v>
      </c>
      <c r="J74" s="68">
        <v>107</v>
      </c>
      <c r="K74" s="68">
        <v>0</v>
      </c>
      <c r="L74" s="68">
        <v>125</v>
      </c>
      <c r="M74" s="68">
        <v>0</v>
      </c>
      <c r="N74" s="67">
        <f>H74+I74</f>
        <v>113</v>
      </c>
      <c r="O74" s="67">
        <f>J74+K74</f>
        <v>107</v>
      </c>
      <c r="P74" s="67">
        <f>L74+M74</f>
        <v>125</v>
      </c>
      <c r="Q74" s="78">
        <f>AVERAGE(H74,J74,L74)/F74</f>
        <v>287.5</v>
      </c>
      <c r="R74" s="82">
        <f>Q74*G74</f>
        <v>181125</v>
      </c>
      <c r="S74" s="77">
        <f>800/Q74</f>
        <v>2.7826086956521738</v>
      </c>
      <c r="T74" s="80"/>
      <c r="U74" s="78">
        <f>R74-(S74*Q74*3)</f>
        <v>178725</v>
      </c>
      <c r="V74" s="78">
        <v>69</v>
      </c>
      <c r="W74" s="78">
        <v>1</v>
      </c>
      <c r="X74" s="83"/>
    </row>
    <row r="75" spans="1:25" s="68" customFormat="1" x14ac:dyDescent="0.2">
      <c r="A75" s="75">
        <v>43198</v>
      </c>
      <c r="B75" s="85" t="s">
        <v>29</v>
      </c>
      <c r="C75" s="85" t="s">
        <v>311</v>
      </c>
      <c r="D75" s="86" t="s">
        <v>61</v>
      </c>
      <c r="E75" s="85" t="s">
        <v>63</v>
      </c>
      <c r="F75" s="81">
        <v>0.4</v>
      </c>
      <c r="G75" s="68">
        <v>680</v>
      </c>
      <c r="H75" s="68">
        <v>141</v>
      </c>
      <c r="I75" s="68">
        <v>0</v>
      </c>
      <c r="J75" s="68">
        <v>163</v>
      </c>
      <c r="K75" s="68">
        <v>0</v>
      </c>
      <c r="L75" s="68">
        <v>153</v>
      </c>
      <c r="M75" s="68">
        <v>0</v>
      </c>
      <c r="N75" s="67">
        <f>H75+I75</f>
        <v>141</v>
      </c>
      <c r="O75" s="67">
        <f>J75+K75</f>
        <v>163</v>
      </c>
      <c r="P75" s="67">
        <f>L75+M75</f>
        <v>153</v>
      </c>
      <c r="Q75" s="78">
        <f>AVERAGE(H75,J75,L75)/F75</f>
        <v>380.83333333333331</v>
      </c>
      <c r="R75" s="82">
        <f>Q75*G75</f>
        <v>258966.66666666666</v>
      </c>
      <c r="S75" s="77">
        <f>800/Q75</f>
        <v>2.1006564551422322</v>
      </c>
      <c r="T75" s="80"/>
      <c r="U75" s="78">
        <f>R75-(S75*Q75*3)</f>
        <v>256566.66666666666</v>
      </c>
      <c r="V75" s="78">
        <v>70</v>
      </c>
      <c r="W75" s="78">
        <v>1</v>
      </c>
      <c r="X75" s="83"/>
    </row>
    <row r="76" spans="1:25" s="68" customFormat="1" x14ac:dyDescent="0.2">
      <c r="A76" s="75">
        <v>43198</v>
      </c>
      <c r="B76" s="85" t="s">
        <v>82</v>
      </c>
      <c r="C76" s="85" t="s">
        <v>312</v>
      </c>
      <c r="D76" s="86" t="s">
        <v>94</v>
      </c>
      <c r="E76" s="85" t="s">
        <v>120</v>
      </c>
      <c r="F76" s="81">
        <v>0.3</v>
      </c>
      <c r="G76" s="68">
        <v>740</v>
      </c>
      <c r="H76" s="68">
        <v>135</v>
      </c>
      <c r="I76" s="68">
        <v>0</v>
      </c>
      <c r="J76" s="68">
        <v>139</v>
      </c>
      <c r="K76" s="68">
        <v>0</v>
      </c>
      <c r="L76" s="68">
        <v>175</v>
      </c>
      <c r="M76" s="68">
        <v>0</v>
      </c>
      <c r="N76" s="67">
        <f>H76+I76</f>
        <v>135</v>
      </c>
      <c r="O76" s="67">
        <f>J76+K76</f>
        <v>139</v>
      </c>
      <c r="P76" s="67">
        <f>L76+M76</f>
        <v>175</v>
      </c>
      <c r="Q76" s="78">
        <f>AVERAGE(H76,J76,L76)/F76</f>
        <v>498.88888888888886</v>
      </c>
      <c r="R76" s="82">
        <f>Q76*G76</f>
        <v>369177.77777777775</v>
      </c>
      <c r="S76" s="77">
        <f>800/Q76</f>
        <v>1.603563474387528</v>
      </c>
      <c r="T76" s="80"/>
      <c r="U76" s="78">
        <f>R76-(S76*Q76*3)</f>
        <v>366777.77777777775</v>
      </c>
      <c r="V76" s="78">
        <v>71</v>
      </c>
      <c r="W76" s="78">
        <v>2</v>
      </c>
      <c r="X76" s="83"/>
    </row>
    <row r="77" spans="1:25" s="68" customFormat="1" x14ac:dyDescent="0.2">
      <c r="A77" s="75">
        <v>43198</v>
      </c>
      <c r="B77" s="75" t="s">
        <v>28</v>
      </c>
      <c r="C77" s="75" t="s">
        <v>311</v>
      </c>
      <c r="D77" s="76" t="s">
        <v>77</v>
      </c>
      <c r="E77" s="75" t="s">
        <v>48</v>
      </c>
      <c r="F77" s="81">
        <v>0.3</v>
      </c>
      <c r="G77" s="68">
        <v>700</v>
      </c>
      <c r="H77" s="68">
        <v>109</v>
      </c>
      <c r="I77" s="68">
        <v>0</v>
      </c>
      <c r="J77" s="68">
        <v>92</v>
      </c>
      <c r="K77" s="68">
        <v>0</v>
      </c>
      <c r="L77" s="68">
        <v>105</v>
      </c>
      <c r="M77" s="68">
        <v>0</v>
      </c>
      <c r="N77" s="67">
        <f>H77+I77</f>
        <v>109</v>
      </c>
      <c r="O77" s="67">
        <f>J77+K77</f>
        <v>92</v>
      </c>
      <c r="P77" s="67">
        <f>L77+M77</f>
        <v>105</v>
      </c>
      <c r="Q77" s="78">
        <f>AVERAGE(H77,J77,L77)/F77</f>
        <v>340</v>
      </c>
      <c r="R77" s="82">
        <f>Q77*G77</f>
        <v>238000</v>
      </c>
      <c r="S77" s="77">
        <f>800/Q77</f>
        <v>2.3529411764705883</v>
      </c>
      <c r="T77" s="80"/>
      <c r="U77" s="78">
        <f>R77-(S77*Q77*3)</f>
        <v>235600</v>
      </c>
      <c r="V77" s="78">
        <v>72</v>
      </c>
      <c r="W77" s="78">
        <v>2</v>
      </c>
      <c r="X77" s="84"/>
    </row>
    <row r="78" spans="1:25" s="68" customFormat="1" x14ac:dyDescent="0.2">
      <c r="A78" s="75">
        <v>43198</v>
      </c>
      <c r="B78" s="75" t="s">
        <v>29</v>
      </c>
      <c r="C78" s="75" t="s">
        <v>312</v>
      </c>
      <c r="D78" s="76" t="s">
        <v>119</v>
      </c>
      <c r="E78" s="75" t="s">
        <v>49</v>
      </c>
      <c r="F78" s="77">
        <v>0.25</v>
      </c>
      <c r="G78" s="67">
        <v>910</v>
      </c>
      <c r="H78" s="67">
        <v>169</v>
      </c>
      <c r="I78" s="67">
        <v>0</v>
      </c>
      <c r="J78" s="67">
        <v>197</v>
      </c>
      <c r="K78" s="67">
        <v>0</v>
      </c>
      <c r="L78" s="67">
        <v>174</v>
      </c>
      <c r="M78" s="67">
        <v>0</v>
      </c>
      <c r="N78" s="67">
        <f>H78+I78</f>
        <v>169</v>
      </c>
      <c r="O78" s="67">
        <f>J78+K78</f>
        <v>197</v>
      </c>
      <c r="P78" s="67">
        <f>L78+M78</f>
        <v>174</v>
      </c>
      <c r="Q78" s="78">
        <f>AVERAGE(H78,J78,L78)/F78</f>
        <v>720</v>
      </c>
      <c r="R78" s="78">
        <f>Q78*G78</f>
        <v>655200</v>
      </c>
      <c r="S78" s="77">
        <f>800/Q78</f>
        <v>1.1111111111111112</v>
      </c>
      <c r="T78" s="80"/>
      <c r="U78" s="78">
        <f>R78-(S78*Q78*3)</f>
        <v>652800</v>
      </c>
      <c r="V78" s="78">
        <v>73</v>
      </c>
      <c r="W78" s="78">
        <v>2</v>
      </c>
      <c r="X78" s="226"/>
      <c r="Y78" s="67"/>
    </row>
    <row r="79" spans="1:25" s="68" customFormat="1" x14ac:dyDescent="0.2">
      <c r="A79" s="75">
        <v>43198</v>
      </c>
      <c r="B79" s="87" t="s">
        <v>58</v>
      </c>
      <c r="C79" s="87" t="s">
        <v>311</v>
      </c>
      <c r="D79" s="88" t="s">
        <v>69</v>
      </c>
      <c r="E79" s="87" t="s">
        <v>52</v>
      </c>
      <c r="F79" s="81">
        <v>0.5</v>
      </c>
      <c r="G79" s="68">
        <v>500</v>
      </c>
      <c r="H79" s="68">
        <v>92</v>
      </c>
      <c r="I79" s="68">
        <v>0</v>
      </c>
      <c r="J79" s="68">
        <v>103</v>
      </c>
      <c r="K79" s="68">
        <v>0</v>
      </c>
      <c r="L79" s="68">
        <v>95</v>
      </c>
      <c r="M79" s="68">
        <v>0</v>
      </c>
      <c r="N79" s="67">
        <f>H79+I79</f>
        <v>92</v>
      </c>
      <c r="O79" s="67">
        <f>J79+K79</f>
        <v>103</v>
      </c>
      <c r="P79" s="67">
        <f>L79+M79</f>
        <v>95</v>
      </c>
      <c r="Q79" s="78">
        <f>AVERAGE(H79,J79,L79)/F79</f>
        <v>193.33333333333334</v>
      </c>
      <c r="R79" s="82">
        <f>Q79*G79</f>
        <v>96666.666666666672</v>
      </c>
      <c r="S79" s="77">
        <f>800/Q79</f>
        <v>4.137931034482758</v>
      </c>
      <c r="T79" s="80"/>
      <c r="U79" s="78">
        <f>R79-(S79*Q79*3)</f>
        <v>94266.666666666672</v>
      </c>
      <c r="V79" s="78">
        <v>74</v>
      </c>
      <c r="W79" s="78">
        <v>1</v>
      </c>
      <c r="X79" s="83"/>
    </row>
    <row r="80" spans="1:25" x14ac:dyDescent="0.2">
      <c r="A80" s="22">
        <v>43199</v>
      </c>
      <c r="B80" s="33" t="s">
        <v>29</v>
      </c>
      <c r="C80" s="33" t="s">
        <v>312</v>
      </c>
      <c r="D80" s="44" t="s">
        <v>119</v>
      </c>
      <c r="E80" s="33" t="s">
        <v>52</v>
      </c>
      <c r="F80" s="30">
        <v>0.1</v>
      </c>
      <c r="G80" s="29">
        <v>840</v>
      </c>
      <c r="H80" s="29">
        <v>95</v>
      </c>
      <c r="I80" s="29">
        <v>0</v>
      </c>
      <c r="J80" s="29">
        <v>87</v>
      </c>
      <c r="K80" s="29">
        <v>0</v>
      </c>
      <c r="L80" s="29">
        <v>108</v>
      </c>
      <c r="M80" s="29">
        <v>0</v>
      </c>
      <c r="N80" s="72">
        <f>H80+I80</f>
        <v>95</v>
      </c>
      <c r="O80" s="72">
        <f>J80+K80</f>
        <v>87</v>
      </c>
      <c r="P80" s="72">
        <f>L80+M80</f>
        <v>108</v>
      </c>
      <c r="Q80" s="26">
        <f>AVERAGE(H80,J80,L80)/F80</f>
        <v>966.66666666666663</v>
      </c>
      <c r="R80" s="31">
        <f>Q80*G80</f>
        <v>812000</v>
      </c>
      <c r="S80" s="24">
        <f>800/Q80</f>
        <v>0.82758620689655171</v>
      </c>
      <c r="T80" s="27"/>
      <c r="U80" s="26">
        <f>R80-(S80*Q80*3)</f>
        <v>809600</v>
      </c>
      <c r="V80" s="26">
        <v>75</v>
      </c>
      <c r="W80" s="26"/>
    </row>
    <row r="81" spans="1:25" x14ac:dyDescent="0.2">
      <c r="A81" s="22">
        <v>43199</v>
      </c>
      <c r="B81" s="34" t="s">
        <v>82</v>
      </c>
      <c r="C81" s="34" t="s">
        <v>312</v>
      </c>
      <c r="D81" s="45" t="s">
        <v>94</v>
      </c>
      <c r="E81" s="34" t="s">
        <v>52</v>
      </c>
      <c r="F81" s="30">
        <v>0.5</v>
      </c>
      <c r="G81" s="29">
        <v>450</v>
      </c>
      <c r="H81" s="29">
        <v>68</v>
      </c>
      <c r="I81" s="29">
        <v>2</v>
      </c>
      <c r="J81" s="29">
        <v>64</v>
      </c>
      <c r="K81" s="29">
        <v>0</v>
      </c>
      <c r="L81" s="29">
        <v>48</v>
      </c>
      <c r="M81" s="29">
        <v>1</v>
      </c>
      <c r="N81" s="72">
        <f>H81+I81</f>
        <v>70</v>
      </c>
      <c r="O81" s="72">
        <f>J81+K81</f>
        <v>64</v>
      </c>
      <c r="P81" s="72">
        <f>L81+M81</f>
        <v>49</v>
      </c>
      <c r="Q81" s="26">
        <f>AVERAGE(H81,J81,L81)/F81</f>
        <v>120</v>
      </c>
      <c r="R81" s="31">
        <f>Q81*G81</f>
        <v>54000</v>
      </c>
      <c r="S81" s="24">
        <f>800/Q81</f>
        <v>6.666666666666667</v>
      </c>
      <c r="T81" s="27"/>
      <c r="U81" s="26">
        <f>R81-(S81*Q81*3)</f>
        <v>51600</v>
      </c>
      <c r="V81" s="26">
        <v>76</v>
      </c>
      <c r="W81" s="26"/>
    </row>
    <row r="82" spans="1:25" x14ac:dyDescent="0.2">
      <c r="A82" s="22">
        <v>43199</v>
      </c>
      <c r="B82" s="22" t="s">
        <v>58</v>
      </c>
      <c r="C82" s="22" t="s">
        <v>312</v>
      </c>
      <c r="D82" s="40" t="s">
        <v>59</v>
      </c>
      <c r="E82" s="22" t="s">
        <v>132</v>
      </c>
      <c r="F82" s="24">
        <v>0.3</v>
      </c>
      <c r="G82" s="23">
        <v>720</v>
      </c>
      <c r="H82" s="23">
        <v>137</v>
      </c>
      <c r="I82" s="23">
        <v>0</v>
      </c>
      <c r="J82" s="23">
        <v>121</v>
      </c>
      <c r="K82" s="23">
        <v>0</v>
      </c>
      <c r="L82" s="23">
        <v>134</v>
      </c>
      <c r="M82" s="23">
        <v>0</v>
      </c>
      <c r="N82" s="71">
        <f>H82+I82</f>
        <v>137</v>
      </c>
      <c r="O82" s="71">
        <f>J82+K82</f>
        <v>121</v>
      </c>
      <c r="P82" s="71">
        <f>L82+M82</f>
        <v>134</v>
      </c>
      <c r="Q82" s="26">
        <f>AVERAGE(H82,J82,L82)/F82</f>
        <v>435.55555555555554</v>
      </c>
      <c r="R82" s="26">
        <f>Q82*G82</f>
        <v>313600</v>
      </c>
      <c r="S82" s="24">
        <f>800/Q82</f>
        <v>1.8367346938775511</v>
      </c>
      <c r="T82" s="27"/>
      <c r="U82" s="26">
        <f>R82-(S82*Q82*3)</f>
        <v>311200</v>
      </c>
      <c r="V82" s="26">
        <v>77</v>
      </c>
      <c r="W82" s="26"/>
      <c r="X82" s="28"/>
      <c r="Y82" s="23"/>
    </row>
    <row r="83" spans="1:25" x14ac:dyDescent="0.2">
      <c r="A83" s="22">
        <v>43199</v>
      </c>
      <c r="B83" s="33" t="s">
        <v>82</v>
      </c>
      <c r="C83" s="33" t="s">
        <v>311</v>
      </c>
      <c r="D83" s="44" t="s">
        <v>113</v>
      </c>
      <c r="E83" s="33" t="s">
        <v>130</v>
      </c>
      <c r="F83" s="30">
        <v>0.3</v>
      </c>
      <c r="G83" s="29">
        <v>745</v>
      </c>
      <c r="H83" s="29">
        <v>103</v>
      </c>
      <c r="I83" s="29">
        <v>0</v>
      </c>
      <c r="J83" s="29">
        <v>94</v>
      </c>
      <c r="K83" s="29">
        <v>1</v>
      </c>
      <c r="L83" s="29">
        <v>103</v>
      </c>
      <c r="M83" s="29">
        <v>0</v>
      </c>
      <c r="N83" s="72">
        <f>H83+I83</f>
        <v>103</v>
      </c>
      <c r="O83" s="72">
        <f>J83+K83</f>
        <v>95</v>
      </c>
      <c r="P83" s="72">
        <f>L83+M83</f>
        <v>103</v>
      </c>
      <c r="Q83" s="26">
        <f>AVERAGE(H83,J83,L83)/F83</f>
        <v>333.33333333333337</v>
      </c>
      <c r="R83" s="31">
        <f>Q83*G83</f>
        <v>248333.33333333337</v>
      </c>
      <c r="S83" s="24">
        <f>800/Q83</f>
        <v>2.4</v>
      </c>
      <c r="T83" s="27"/>
      <c r="U83" s="26">
        <f>R83-(S83*Q83*3)</f>
        <v>245933.33333333337</v>
      </c>
      <c r="V83" s="26">
        <v>78</v>
      </c>
      <c r="W83" s="26"/>
    </row>
    <row r="84" spans="1:25" hidden="1" x14ac:dyDescent="0.2">
      <c r="A84" s="22">
        <v>43199</v>
      </c>
      <c r="B84" s="33" t="s">
        <v>58</v>
      </c>
      <c r="C84" s="33" t="s">
        <v>311</v>
      </c>
      <c r="D84" s="44" t="s">
        <v>69</v>
      </c>
      <c r="E84" s="33" t="s">
        <v>52</v>
      </c>
      <c r="F84" s="30">
        <v>0.5</v>
      </c>
      <c r="G84" s="29">
        <v>450</v>
      </c>
      <c r="H84" s="29">
        <v>38</v>
      </c>
      <c r="I84" s="29">
        <v>0</v>
      </c>
      <c r="J84" s="29">
        <v>32</v>
      </c>
      <c r="K84" s="29">
        <v>0</v>
      </c>
      <c r="L84" s="29">
        <v>34</v>
      </c>
      <c r="M84" s="29">
        <v>0</v>
      </c>
      <c r="N84" s="72">
        <f>H84+I84</f>
        <v>38</v>
      </c>
      <c r="O84" s="72">
        <f>J84+K84</f>
        <v>32</v>
      </c>
      <c r="P84" s="72">
        <f>L84+M84</f>
        <v>34</v>
      </c>
      <c r="Q84" s="26">
        <f>AVERAGE(H84,J84,L84)/F84</f>
        <v>69.333333333333329</v>
      </c>
      <c r="R84" s="31">
        <f>Q84*G84</f>
        <v>31199.999999999996</v>
      </c>
      <c r="S84" s="24">
        <f>800/Q84</f>
        <v>11.53846153846154</v>
      </c>
      <c r="T84" s="27"/>
      <c r="U84" s="26">
        <f>R84-(S84*Q84*3)</f>
        <v>28799.999999999996</v>
      </c>
      <c r="V84" s="26">
        <v>79</v>
      </c>
      <c r="W84" s="26"/>
    </row>
    <row r="85" spans="1:25" x14ac:dyDescent="0.2">
      <c r="A85" s="22">
        <v>43199</v>
      </c>
      <c r="B85" s="34" t="s">
        <v>37</v>
      </c>
      <c r="C85" s="34" t="s">
        <v>312</v>
      </c>
      <c r="D85" s="45" t="s">
        <v>39</v>
      </c>
      <c r="E85" s="34" t="s">
        <v>52</v>
      </c>
      <c r="F85" s="30">
        <v>0.4</v>
      </c>
      <c r="G85" s="29">
        <v>500</v>
      </c>
      <c r="H85" s="29">
        <v>78</v>
      </c>
      <c r="I85" s="29">
        <v>0</v>
      </c>
      <c r="J85" s="29">
        <v>59</v>
      </c>
      <c r="K85" s="29">
        <v>0</v>
      </c>
      <c r="L85" s="29">
        <v>66</v>
      </c>
      <c r="M85" s="29">
        <v>0</v>
      </c>
      <c r="N85" s="72">
        <f>H85+I85</f>
        <v>78</v>
      </c>
      <c r="O85" s="72">
        <f>J85+K85</f>
        <v>59</v>
      </c>
      <c r="P85" s="72">
        <f>L85+M85</f>
        <v>66</v>
      </c>
      <c r="Q85" s="26">
        <f>AVERAGE(H85,J85,L85)/F85</f>
        <v>169.16666666666666</v>
      </c>
      <c r="R85" s="31">
        <f>Q85*G85</f>
        <v>84583.333333333328</v>
      </c>
      <c r="S85" s="24">
        <f>800/Q85</f>
        <v>4.7290640394088674</v>
      </c>
      <c r="T85" s="27"/>
      <c r="U85" s="26">
        <f>R85-(S85*Q85*3)</f>
        <v>82183.333333333328</v>
      </c>
      <c r="V85" s="26">
        <v>80</v>
      </c>
      <c r="W85" s="26"/>
    </row>
    <row r="86" spans="1:25" x14ac:dyDescent="0.2">
      <c r="A86" s="22">
        <v>43199</v>
      </c>
      <c r="B86" s="34" t="s">
        <v>36</v>
      </c>
      <c r="C86" s="34" t="s">
        <v>312</v>
      </c>
      <c r="D86" s="45" t="s">
        <v>42</v>
      </c>
      <c r="E86" s="34" t="s">
        <v>50</v>
      </c>
      <c r="F86" s="30">
        <v>0.3</v>
      </c>
      <c r="G86" s="29">
        <v>620</v>
      </c>
      <c r="H86" s="29">
        <v>129</v>
      </c>
      <c r="I86" s="29">
        <v>1</v>
      </c>
      <c r="J86" s="29">
        <v>121</v>
      </c>
      <c r="K86" s="29">
        <v>1</v>
      </c>
      <c r="L86" s="29">
        <v>121</v>
      </c>
      <c r="M86" s="29">
        <v>0</v>
      </c>
      <c r="N86" s="72">
        <f>H86+I86</f>
        <v>130</v>
      </c>
      <c r="O86" s="72">
        <f>J86+K86</f>
        <v>122</v>
      </c>
      <c r="P86" s="72">
        <f>L86+M86</f>
        <v>121</v>
      </c>
      <c r="Q86" s="26">
        <f>AVERAGE(H86,J86,L86)/F86</f>
        <v>412.22222222222223</v>
      </c>
      <c r="R86" s="31">
        <f>Q86*G86</f>
        <v>255577.77777777778</v>
      </c>
      <c r="S86" s="24">
        <f>800/Q86</f>
        <v>1.940700808625337</v>
      </c>
      <c r="T86" s="27"/>
      <c r="U86" s="26">
        <f>R86-(S86*Q86*3)</f>
        <v>253177.77777777778</v>
      </c>
      <c r="V86" s="26">
        <v>81</v>
      </c>
      <c r="W86" s="26"/>
    </row>
    <row r="87" spans="1:25" x14ac:dyDescent="0.2">
      <c r="A87" s="22">
        <v>43199</v>
      </c>
      <c r="B87" s="34" t="s">
        <v>83</v>
      </c>
      <c r="C87" s="34" t="s">
        <v>312</v>
      </c>
      <c r="D87" s="45" t="s">
        <v>95</v>
      </c>
      <c r="E87" s="34" t="s">
        <v>99</v>
      </c>
      <c r="F87" s="30">
        <v>0.3</v>
      </c>
      <c r="G87" s="29">
        <v>670</v>
      </c>
      <c r="H87" s="29">
        <v>120</v>
      </c>
      <c r="I87" s="29">
        <v>0</v>
      </c>
      <c r="J87" s="29">
        <v>95</v>
      </c>
      <c r="K87" s="29">
        <v>0</v>
      </c>
      <c r="L87" s="29">
        <v>127</v>
      </c>
      <c r="M87" s="29">
        <v>0</v>
      </c>
      <c r="N87" s="72">
        <f>H87+I87</f>
        <v>120</v>
      </c>
      <c r="O87" s="72">
        <f>J87+K87</f>
        <v>95</v>
      </c>
      <c r="P87" s="72">
        <f>L87+M87</f>
        <v>127</v>
      </c>
      <c r="Q87" s="26">
        <f>AVERAGE(H87,J87,L87)/F87</f>
        <v>380</v>
      </c>
      <c r="R87" s="31">
        <f>Q87*G87</f>
        <v>254600</v>
      </c>
      <c r="S87" s="24">
        <f>800/Q87</f>
        <v>2.1052631578947367</v>
      </c>
      <c r="T87" s="27"/>
      <c r="U87" s="26">
        <f>R87-(S87*Q87*3)</f>
        <v>252200</v>
      </c>
      <c r="V87" s="26">
        <v>82</v>
      </c>
      <c r="W87" s="26"/>
    </row>
    <row r="88" spans="1:25" x14ac:dyDescent="0.2">
      <c r="A88" s="22">
        <v>43199</v>
      </c>
      <c r="B88" s="34" t="s">
        <v>60</v>
      </c>
      <c r="C88" s="34" t="s">
        <v>311</v>
      </c>
      <c r="D88" s="45" t="s">
        <v>65</v>
      </c>
      <c r="E88" s="34" t="s">
        <v>70</v>
      </c>
      <c r="F88" s="30">
        <v>0.2</v>
      </c>
      <c r="G88" s="29">
        <v>840</v>
      </c>
      <c r="H88" s="29">
        <v>165</v>
      </c>
      <c r="I88" s="29">
        <v>0</v>
      </c>
      <c r="J88" s="29">
        <v>158</v>
      </c>
      <c r="K88" s="29">
        <v>0</v>
      </c>
      <c r="L88" s="29">
        <v>158</v>
      </c>
      <c r="M88" s="29">
        <v>0</v>
      </c>
      <c r="N88" s="72">
        <f>H88+I88</f>
        <v>165</v>
      </c>
      <c r="O88" s="72">
        <f>J88+K88</f>
        <v>158</v>
      </c>
      <c r="P88" s="72">
        <f>L88+M88</f>
        <v>158</v>
      </c>
      <c r="Q88" s="26">
        <f>AVERAGE(H88,J88,L88)/F88</f>
        <v>801.66666666666663</v>
      </c>
      <c r="R88" s="31">
        <f>Q88*G88</f>
        <v>673400</v>
      </c>
      <c r="S88" s="24">
        <f>800/Q88</f>
        <v>0.99792099792099798</v>
      </c>
      <c r="T88" s="27"/>
      <c r="U88" s="26">
        <f>R88-(S88*Q88*3)</f>
        <v>671000</v>
      </c>
      <c r="V88" s="26">
        <v>83</v>
      </c>
      <c r="W88" s="26"/>
    </row>
    <row r="89" spans="1:25" s="68" customFormat="1" x14ac:dyDescent="0.2">
      <c r="A89" s="87">
        <v>43200</v>
      </c>
      <c r="B89" s="87" t="s">
        <v>60</v>
      </c>
      <c r="C89" s="87" t="s">
        <v>311</v>
      </c>
      <c r="D89" s="88" t="s">
        <v>65</v>
      </c>
      <c r="E89" s="87" t="s">
        <v>52</v>
      </c>
      <c r="F89" s="81">
        <v>0.3</v>
      </c>
      <c r="G89" s="68">
        <v>600</v>
      </c>
      <c r="H89" s="68">
        <v>149</v>
      </c>
      <c r="I89" s="68">
        <v>0</v>
      </c>
      <c r="J89" s="68">
        <v>180</v>
      </c>
      <c r="K89" s="68">
        <v>1</v>
      </c>
      <c r="L89" s="68">
        <v>165</v>
      </c>
      <c r="M89" s="68">
        <v>0</v>
      </c>
      <c r="N89" s="68">
        <f>H89+I89</f>
        <v>149</v>
      </c>
      <c r="O89" s="68">
        <f>J89+K89</f>
        <v>181</v>
      </c>
      <c r="P89" s="68">
        <f>L89+M89</f>
        <v>165</v>
      </c>
      <c r="Q89" s="78">
        <f>AVERAGE(H89,J89,L89)/F89</f>
        <v>548.88888888888891</v>
      </c>
      <c r="R89" s="82">
        <f>Q89*G89</f>
        <v>329333.33333333337</v>
      </c>
      <c r="S89" s="77">
        <f>800/Q89</f>
        <v>1.4574898785425101</v>
      </c>
      <c r="T89" s="80"/>
      <c r="U89" s="78">
        <f>R89-(S89*Q89*3)</f>
        <v>326933.33333333337</v>
      </c>
      <c r="V89" s="78">
        <v>84</v>
      </c>
      <c r="W89" s="78">
        <v>1</v>
      </c>
      <c r="X89" s="83"/>
    </row>
    <row r="90" spans="1:25" s="68" customFormat="1" hidden="1" x14ac:dyDescent="0.2">
      <c r="A90" s="87">
        <v>43200</v>
      </c>
      <c r="B90" s="87" t="s">
        <v>37</v>
      </c>
      <c r="C90" s="87" t="s">
        <v>312</v>
      </c>
      <c r="D90" s="88" t="s">
        <v>39</v>
      </c>
      <c r="E90" s="87" t="s">
        <v>52</v>
      </c>
      <c r="F90" s="81">
        <v>0.7</v>
      </c>
      <c r="G90" s="68">
        <v>400</v>
      </c>
      <c r="H90" s="68">
        <v>22</v>
      </c>
      <c r="I90" s="68">
        <v>0</v>
      </c>
      <c r="J90" s="68">
        <v>27</v>
      </c>
      <c r="K90" s="68">
        <v>0</v>
      </c>
      <c r="L90" s="68">
        <v>19</v>
      </c>
      <c r="M90" s="68">
        <v>0</v>
      </c>
      <c r="N90" s="68">
        <f>H90+I90</f>
        <v>22</v>
      </c>
      <c r="O90" s="68">
        <f>J90+K90</f>
        <v>27</v>
      </c>
      <c r="P90" s="68">
        <f>L90+M90</f>
        <v>19</v>
      </c>
      <c r="Q90" s="78">
        <f>AVERAGE(H90,J90,L90)/F90</f>
        <v>32.380952380952387</v>
      </c>
      <c r="R90" s="82">
        <f>Q90*G90</f>
        <v>12952.380952380954</v>
      </c>
      <c r="S90" s="77">
        <f>800/Q90</f>
        <v>24.70588235294117</v>
      </c>
      <c r="T90" s="80"/>
      <c r="U90" s="78">
        <f>R90-(S90*Q90*3)</f>
        <v>10552.380952380954</v>
      </c>
      <c r="V90" s="78" t="s">
        <v>20</v>
      </c>
      <c r="W90" s="78" t="s">
        <v>20</v>
      </c>
      <c r="X90" s="83"/>
    </row>
    <row r="91" spans="1:25" s="68" customFormat="1" x14ac:dyDescent="0.2">
      <c r="A91" s="87">
        <v>43200</v>
      </c>
      <c r="B91" s="87" t="s">
        <v>83</v>
      </c>
      <c r="C91" s="87" t="s">
        <v>312</v>
      </c>
      <c r="D91" s="88" t="s">
        <v>95</v>
      </c>
      <c r="E91" s="87" t="s">
        <v>52</v>
      </c>
      <c r="F91" s="81">
        <v>0.4</v>
      </c>
      <c r="G91" s="68">
        <v>530</v>
      </c>
      <c r="H91" s="68">
        <v>114</v>
      </c>
      <c r="I91" s="68">
        <v>0</v>
      </c>
      <c r="J91" s="68">
        <v>125</v>
      </c>
      <c r="K91" s="68">
        <v>0</v>
      </c>
      <c r="L91" s="68">
        <v>105</v>
      </c>
      <c r="M91" s="68">
        <v>0</v>
      </c>
      <c r="N91" s="68">
        <f>H91+I91</f>
        <v>114</v>
      </c>
      <c r="O91" s="68">
        <f>J91+K91</f>
        <v>125</v>
      </c>
      <c r="P91" s="68">
        <f>L91+M91</f>
        <v>105</v>
      </c>
      <c r="Q91" s="78">
        <f>AVERAGE(H91,J91,L91)/F91</f>
        <v>286.66666666666669</v>
      </c>
      <c r="R91" s="82">
        <f>Q91*G91</f>
        <v>151933.33333333334</v>
      </c>
      <c r="S91" s="77">
        <f>800/Q91</f>
        <v>2.7906976744186043</v>
      </c>
      <c r="T91" s="80"/>
      <c r="U91" s="78">
        <f>R91-(S91*Q91*3)</f>
        <v>149533.33333333334</v>
      </c>
      <c r="V91" s="78">
        <v>85</v>
      </c>
      <c r="W91" s="78">
        <v>1</v>
      </c>
      <c r="X91" s="83"/>
    </row>
    <row r="92" spans="1:25" s="68" customFormat="1" x14ac:dyDescent="0.2">
      <c r="A92" s="87">
        <v>43200</v>
      </c>
      <c r="B92" s="87" t="s">
        <v>82</v>
      </c>
      <c r="C92" s="87" t="s">
        <v>311</v>
      </c>
      <c r="D92" s="88" t="s">
        <v>113</v>
      </c>
      <c r="E92" s="87" t="s">
        <v>52</v>
      </c>
      <c r="F92" s="81">
        <v>0.3</v>
      </c>
      <c r="G92" s="68">
        <v>745</v>
      </c>
      <c r="H92" s="68">
        <v>129</v>
      </c>
      <c r="I92" s="68">
        <v>0</v>
      </c>
      <c r="J92" s="68">
        <v>119</v>
      </c>
      <c r="K92" s="68">
        <v>0</v>
      </c>
      <c r="L92" s="68">
        <v>140</v>
      </c>
      <c r="M92" s="68">
        <v>0</v>
      </c>
      <c r="N92" s="68">
        <f>H92+I92</f>
        <v>129</v>
      </c>
      <c r="O92" s="68">
        <f>J92+K92</f>
        <v>119</v>
      </c>
      <c r="P92" s="68">
        <f>L92+M92</f>
        <v>140</v>
      </c>
      <c r="Q92" s="78">
        <f>AVERAGE(H92,J92,L92)/F92</f>
        <v>431.11111111111114</v>
      </c>
      <c r="R92" s="82">
        <f>Q92*G92</f>
        <v>321177.77777777781</v>
      </c>
      <c r="S92" s="77">
        <f>800/Q92</f>
        <v>1.8556701030927834</v>
      </c>
      <c r="T92" s="80"/>
      <c r="U92" s="78">
        <f>R92-(S92*Q92*3)</f>
        <v>318777.77777777781</v>
      </c>
      <c r="V92" s="78">
        <v>86</v>
      </c>
      <c r="W92" s="78">
        <v>1</v>
      </c>
      <c r="X92" s="83"/>
    </row>
    <row r="93" spans="1:25" s="68" customFormat="1" x14ac:dyDescent="0.2">
      <c r="A93" s="87">
        <v>43200</v>
      </c>
      <c r="B93" s="87" t="s">
        <v>58</v>
      </c>
      <c r="C93" s="87" t="s">
        <v>312</v>
      </c>
      <c r="D93" s="88" t="s">
        <v>59</v>
      </c>
      <c r="E93" s="87" t="s">
        <v>52</v>
      </c>
      <c r="F93" s="81">
        <v>0.1</v>
      </c>
      <c r="G93" s="68">
        <v>860</v>
      </c>
      <c r="H93" s="68">
        <v>100</v>
      </c>
      <c r="I93" s="68">
        <v>0</v>
      </c>
      <c r="J93" s="68">
        <v>104</v>
      </c>
      <c r="K93" s="68">
        <v>0</v>
      </c>
      <c r="L93" s="68">
        <v>109</v>
      </c>
      <c r="M93" s="68">
        <v>1</v>
      </c>
      <c r="N93" s="68">
        <f>H93+I93</f>
        <v>100</v>
      </c>
      <c r="O93" s="68">
        <f>J93+K93</f>
        <v>104</v>
      </c>
      <c r="P93" s="68">
        <f>L93+M93</f>
        <v>110</v>
      </c>
      <c r="Q93" s="78">
        <f>AVERAGE(H93,J93,L93)/F93</f>
        <v>1043.3333333333333</v>
      </c>
      <c r="R93" s="82">
        <f>Q93*G93</f>
        <v>897266.66666666663</v>
      </c>
      <c r="S93" s="77">
        <f>800/Q93</f>
        <v>0.7667731629392972</v>
      </c>
      <c r="T93" s="80"/>
      <c r="U93" s="78">
        <f>R93-(S93*Q93*3)</f>
        <v>894866.66666666663</v>
      </c>
      <c r="V93" s="78">
        <v>87</v>
      </c>
      <c r="W93" s="78">
        <v>2</v>
      </c>
      <c r="X93" s="83"/>
    </row>
    <row r="94" spans="1:25" s="68" customFormat="1" x14ac:dyDescent="0.2">
      <c r="A94" s="87">
        <v>43200</v>
      </c>
      <c r="B94" s="87" t="s">
        <v>82</v>
      </c>
      <c r="C94" s="87" t="s">
        <v>312</v>
      </c>
      <c r="D94" s="88" t="s">
        <v>94</v>
      </c>
      <c r="E94" s="87" t="s">
        <v>135</v>
      </c>
      <c r="F94" s="81">
        <v>0.15</v>
      </c>
      <c r="G94" s="68">
        <v>825</v>
      </c>
      <c r="H94" s="68">
        <v>102</v>
      </c>
      <c r="I94" s="68">
        <v>0</v>
      </c>
      <c r="J94" s="68">
        <v>130</v>
      </c>
      <c r="K94" s="68">
        <v>0</v>
      </c>
      <c r="L94" s="68">
        <v>102</v>
      </c>
      <c r="M94" s="68">
        <v>0</v>
      </c>
      <c r="N94" s="68">
        <f>H94+I94</f>
        <v>102</v>
      </c>
      <c r="O94" s="68">
        <f>J94+K94</f>
        <v>130</v>
      </c>
      <c r="P94" s="68">
        <f>L94+M94</f>
        <v>102</v>
      </c>
      <c r="Q94" s="78">
        <f>AVERAGE(H94,J94,L94)/F94</f>
        <v>742.22222222222217</v>
      </c>
      <c r="R94" s="82">
        <f>Q94*G94</f>
        <v>612333.33333333326</v>
      </c>
      <c r="S94" s="77">
        <f>800/Q94</f>
        <v>1.0778443113772456</v>
      </c>
      <c r="T94" s="80"/>
      <c r="U94" s="78">
        <f>R94-(S94*Q94*3)</f>
        <v>609933.33333333326</v>
      </c>
      <c r="V94" s="78">
        <v>88</v>
      </c>
      <c r="W94" s="78">
        <v>2</v>
      </c>
      <c r="X94" s="83"/>
    </row>
    <row r="95" spans="1:25" s="68" customFormat="1" hidden="1" x14ac:dyDescent="0.2">
      <c r="A95" s="87">
        <v>43200</v>
      </c>
      <c r="B95" s="87" t="s">
        <v>29</v>
      </c>
      <c r="C95" s="87" t="s">
        <v>312</v>
      </c>
      <c r="D95" s="88" t="s">
        <v>119</v>
      </c>
      <c r="E95" s="87" t="s">
        <v>52</v>
      </c>
      <c r="F95" s="81">
        <v>0.5</v>
      </c>
      <c r="G95" s="68">
        <v>400</v>
      </c>
      <c r="H95" s="68">
        <v>45</v>
      </c>
      <c r="I95" s="68">
        <v>2</v>
      </c>
      <c r="J95" s="68">
        <v>46</v>
      </c>
      <c r="K95" s="68">
        <v>1</v>
      </c>
      <c r="L95" s="68">
        <v>36</v>
      </c>
      <c r="M95" s="68">
        <v>3</v>
      </c>
      <c r="N95" s="68">
        <f>H95+I95</f>
        <v>47</v>
      </c>
      <c r="O95" s="68">
        <f>J95+K95</f>
        <v>47</v>
      </c>
      <c r="P95" s="68">
        <f>L95+M95</f>
        <v>39</v>
      </c>
      <c r="Q95" s="78">
        <f>AVERAGE(H95,J95,L95)/F95</f>
        <v>84.666666666666671</v>
      </c>
      <c r="R95" s="82">
        <f>Q95*G95</f>
        <v>33866.666666666672</v>
      </c>
      <c r="S95" s="77">
        <f>800/Q95</f>
        <v>9.4488188976377945</v>
      </c>
      <c r="T95" s="80"/>
      <c r="U95" s="78">
        <f>R95-(S95*Q95*3)</f>
        <v>31466.666666666672</v>
      </c>
      <c r="V95" s="78">
        <v>89</v>
      </c>
      <c r="W95" s="78">
        <v>1</v>
      </c>
      <c r="X95" s="83"/>
    </row>
    <row r="96" spans="1:25" s="68" customFormat="1" x14ac:dyDescent="0.2">
      <c r="A96" s="87">
        <v>43200</v>
      </c>
      <c r="B96" s="87" t="s">
        <v>29</v>
      </c>
      <c r="C96" s="87" t="s">
        <v>311</v>
      </c>
      <c r="D96" s="88" t="s">
        <v>61</v>
      </c>
      <c r="E96" s="87" t="s">
        <v>134</v>
      </c>
      <c r="F96" s="81">
        <v>0.1</v>
      </c>
      <c r="G96" s="68">
        <v>850</v>
      </c>
      <c r="H96" s="68">
        <v>75</v>
      </c>
      <c r="I96" s="68">
        <v>0</v>
      </c>
      <c r="J96" s="68">
        <v>93</v>
      </c>
      <c r="K96" s="68">
        <v>0</v>
      </c>
      <c r="L96" s="68">
        <v>82</v>
      </c>
      <c r="M96" s="68">
        <v>0</v>
      </c>
      <c r="N96" s="68">
        <f>H96+I96</f>
        <v>75</v>
      </c>
      <c r="O96" s="68">
        <f>J96+K96</f>
        <v>93</v>
      </c>
      <c r="P96" s="68">
        <f>L96+M96</f>
        <v>82</v>
      </c>
      <c r="Q96" s="78">
        <f>AVERAGE(H96,J96,L96)/F96</f>
        <v>833.33333333333326</v>
      </c>
      <c r="R96" s="82">
        <f>Q96*G96</f>
        <v>708333.33333333326</v>
      </c>
      <c r="S96" s="77">
        <f>800/Q96</f>
        <v>0.96000000000000008</v>
      </c>
      <c r="T96" s="80"/>
      <c r="U96" s="78">
        <f>R96-(S96*Q96*3)</f>
        <v>705933.33333333326</v>
      </c>
      <c r="V96" s="78">
        <v>90</v>
      </c>
      <c r="W96" s="78">
        <v>2</v>
      </c>
      <c r="X96" s="83"/>
    </row>
    <row r="97" spans="1:25" s="68" customFormat="1" x14ac:dyDescent="0.2">
      <c r="A97" s="87">
        <v>43200</v>
      </c>
      <c r="B97" s="87" t="s">
        <v>28</v>
      </c>
      <c r="C97" s="87" t="s">
        <v>311</v>
      </c>
      <c r="D97" s="88" t="s">
        <v>77</v>
      </c>
      <c r="E97" s="87" t="s">
        <v>133</v>
      </c>
      <c r="F97" s="81">
        <v>0.3</v>
      </c>
      <c r="G97" s="68">
        <v>650</v>
      </c>
      <c r="H97" s="68">
        <v>134</v>
      </c>
      <c r="I97" s="68">
        <v>0</v>
      </c>
      <c r="J97" s="68">
        <v>91</v>
      </c>
      <c r="K97" s="68">
        <v>1</v>
      </c>
      <c r="L97" s="68">
        <v>93</v>
      </c>
      <c r="M97" s="68">
        <v>0</v>
      </c>
      <c r="N97" s="68">
        <f>H97+I97</f>
        <v>134</v>
      </c>
      <c r="O97" s="68">
        <f>J97+K97</f>
        <v>92</v>
      </c>
      <c r="P97" s="68">
        <f>L97+M97</f>
        <v>93</v>
      </c>
      <c r="Q97" s="78">
        <f>AVERAGE(H97,J97,L97)/F97</f>
        <v>353.33333333333337</v>
      </c>
      <c r="R97" s="82">
        <f>Q97*G97</f>
        <v>229666.66666666669</v>
      </c>
      <c r="S97" s="77">
        <f>800/Q97</f>
        <v>2.2641509433962264</v>
      </c>
      <c r="T97" s="80"/>
      <c r="U97" s="78">
        <f>R97-(S97*Q97*3)</f>
        <v>227266.66666666669</v>
      </c>
      <c r="V97" s="78">
        <v>91</v>
      </c>
      <c r="W97" s="78">
        <v>1</v>
      </c>
      <c r="X97" s="83"/>
    </row>
    <row r="98" spans="1:25" x14ac:dyDescent="0.2">
      <c r="A98" s="34">
        <v>43201</v>
      </c>
      <c r="B98" s="34" t="s">
        <v>58</v>
      </c>
      <c r="C98" s="34" t="s">
        <v>312</v>
      </c>
      <c r="D98" s="45" t="s">
        <v>59</v>
      </c>
      <c r="E98" s="34" t="s">
        <v>52</v>
      </c>
      <c r="F98" s="30">
        <v>0.5</v>
      </c>
      <c r="G98" s="29">
        <v>500</v>
      </c>
      <c r="H98" s="29">
        <v>69</v>
      </c>
      <c r="I98" s="29">
        <v>0</v>
      </c>
      <c r="J98" s="29">
        <v>93</v>
      </c>
      <c r="K98" s="29">
        <v>0</v>
      </c>
      <c r="L98" s="29">
        <v>71</v>
      </c>
      <c r="M98" s="29">
        <v>0</v>
      </c>
      <c r="N98" s="72">
        <f>H98+I98</f>
        <v>69</v>
      </c>
      <c r="O98" s="72">
        <f>J98+K98</f>
        <v>93</v>
      </c>
      <c r="P98" s="72">
        <f>L98+M98</f>
        <v>71</v>
      </c>
      <c r="Q98" s="78">
        <f>AVERAGE(H98,J98,L98)/F98</f>
        <v>155.33333333333334</v>
      </c>
      <c r="R98" s="31">
        <f>Q98*G98</f>
        <v>77666.666666666672</v>
      </c>
      <c r="S98" s="24">
        <f>800/Q98</f>
        <v>5.1502145922746774</v>
      </c>
      <c r="T98" s="27"/>
      <c r="U98" s="26">
        <f>R98-(S98*Q98*3)</f>
        <v>75266.666666666672</v>
      </c>
      <c r="V98" s="26">
        <v>92</v>
      </c>
      <c r="W98" s="26"/>
    </row>
    <row r="99" spans="1:25" x14ac:dyDescent="0.2">
      <c r="A99" s="34">
        <v>43201</v>
      </c>
      <c r="B99" s="34" t="s">
        <v>36</v>
      </c>
      <c r="C99" s="34" t="s">
        <v>312</v>
      </c>
      <c r="D99" s="45" t="s">
        <v>42</v>
      </c>
      <c r="E99" s="34" t="s">
        <v>52</v>
      </c>
      <c r="F99" s="30">
        <v>0.5</v>
      </c>
      <c r="G99" s="29">
        <v>630</v>
      </c>
      <c r="H99" s="29">
        <v>91</v>
      </c>
      <c r="I99" s="29">
        <v>1</v>
      </c>
      <c r="J99" s="29">
        <v>95</v>
      </c>
      <c r="K99" s="29">
        <v>1</v>
      </c>
      <c r="L99" s="29">
        <v>80</v>
      </c>
      <c r="M99" s="29">
        <v>1</v>
      </c>
      <c r="N99" s="72">
        <f>H99+I99</f>
        <v>92</v>
      </c>
      <c r="O99" s="72">
        <f>J99+K99</f>
        <v>96</v>
      </c>
      <c r="P99" s="72">
        <f>L99+M99</f>
        <v>81</v>
      </c>
      <c r="Q99" s="78">
        <f>AVERAGE(H99,J99,L99)/F99</f>
        <v>177.33333333333334</v>
      </c>
      <c r="R99" s="31">
        <f>Q99*G99</f>
        <v>111720</v>
      </c>
      <c r="S99" s="24">
        <f>800/Q99</f>
        <v>4.511278195488722</v>
      </c>
      <c r="T99" s="27"/>
      <c r="U99" s="26">
        <f>R99-(S99*Q99*3)</f>
        <v>109320</v>
      </c>
      <c r="V99" s="26">
        <v>93</v>
      </c>
      <c r="W99" s="26"/>
    </row>
    <row r="100" spans="1:25" x14ac:dyDescent="0.2">
      <c r="A100" s="34">
        <v>43201</v>
      </c>
      <c r="B100" s="34" t="s">
        <v>36</v>
      </c>
      <c r="C100" s="34" t="s">
        <v>311</v>
      </c>
      <c r="D100" s="45" t="s">
        <v>38</v>
      </c>
      <c r="E100" s="34" t="s">
        <v>51</v>
      </c>
      <c r="F100" s="30">
        <v>0.5</v>
      </c>
      <c r="G100" s="29">
        <v>600</v>
      </c>
      <c r="H100" s="29">
        <v>140</v>
      </c>
      <c r="I100" s="29">
        <v>1</v>
      </c>
      <c r="J100" s="29">
        <v>121</v>
      </c>
      <c r="K100" s="29">
        <v>0</v>
      </c>
      <c r="L100" s="29">
        <v>118</v>
      </c>
      <c r="M100" s="29">
        <v>0</v>
      </c>
      <c r="N100" s="72">
        <f>H100+I100</f>
        <v>141</v>
      </c>
      <c r="O100" s="72">
        <f>J100+K100</f>
        <v>121</v>
      </c>
      <c r="P100" s="72">
        <f>L100+M100</f>
        <v>118</v>
      </c>
      <c r="Q100" s="78">
        <f>AVERAGE(H100,J100,L100)/F100</f>
        <v>252.66666666666666</v>
      </c>
      <c r="R100" s="31">
        <f>Q100*G100</f>
        <v>151600</v>
      </c>
      <c r="S100" s="24">
        <f>800/Q100</f>
        <v>3.1662269129287601</v>
      </c>
      <c r="T100" s="27"/>
      <c r="U100" s="26">
        <f>R100-(S100*Q100*3)</f>
        <v>149200</v>
      </c>
      <c r="V100" s="26">
        <v>94</v>
      </c>
      <c r="W100" s="26"/>
    </row>
    <row r="101" spans="1:25" s="68" customFormat="1" hidden="1" x14ac:dyDescent="0.2">
      <c r="A101" s="87">
        <v>43202</v>
      </c>
      <c r="B101" s="87" t="s">
        <v>60</v>
      </c>
      <c r="C101" s="87" t="s">
        <v>311</v>
      </c>
      <c r="D101" s="88" t="s">
        <v>65</v>
      </c>
      <c r="E101" s="87" t="s">
        <v>52</v>
      </c>
      <c r="F101" s="81">
        <v>0.6</v>
      </c>
      <c r="G101" s="68">
        <v>500</v>
      </c>
      <c r="H101" s="68">
        <v>27</v>
      </c>
      <c r="I101" s="68">
        <v>1</v>
      </c>
      <c r="J101" s="68">
        <v>16</v>
      </c>
      <c r="K101" s="68">
        <v>0</v>
      </c>
      <c r="L101" s="68">
        <v>25</v>
      </c>
      <c r="M101" s="68">
        <v>1</v>
      </c>
      <c r="N101" s="68">
        <f>H101+I101</f>
        <v>28</v>
      </c>
      <c r="O101" s="68">
        <f>J101+K101</f>
        <v>16</v>
      </c>
      <c r="P101" s="68">
        <f>L101+M101</f>
        <v>26</v>
      </c>
      <c r="Q101" s="78">
        <f>AVERAGE(H101,J101,L101)/F101</f>
        <v>37.777777777777779</v>
      </c>
      <c r="R101" s="82">
        <f>Q101*G101</f>
        <v>18888.888888888891</v>
      </c>
      <c r="S101" s="77">
        <f>800/Q101</f>
        <v>21.176470588235293</v>
      </c>
      <c r="T101" s="80"/>
      <c r="U101" s="78">
        <f>R101-(S101*Q101*3)</f>
        <v>16488.888888888891</v>
      </c>
      <c r="V101" s="78">
        <v>95</v>
      </c>
      <c r="W101" s="78"/>
      <c r="X101" s="83"/>
    </row>
    <row r="102" spans="1:25" s="68" customFormat="1" x14ac:dyDescent="0.2">
      <c r="A102" s="87">
        <v>43202</v>
      </c>
      <c r="B102" s="87" t="s">
        <v>36</v>
      </c>
      <c r="C102" s="87" t="s">
        <v>311</v>
      </c>
      <c r="D102" s="88" t="s">
        <v>38</v>
      </c>
      <c r="E102" s="87" t="s">
        <v>52</v>
      </c>
      <c r="F102" s="81">
        <v>0.1</v>
      </c>
      <c r="G102" s="68">
        <v>940</v>
      </c>
      <c r="H102" s="68">
        <v>89</v>
      </c>
      <c r="I102" s="68">
        <v>0</v>
      </c>
      <c r="J102" s="68">
        <v>113</v>
      </c>
      <c r="K102" s="68">
        <v>0</v>
      </c>
      <c r="L102" s="68">
        <v>93</v>
      </c>
      <c r="M102" s="68">
        <v>0</v>
      </c>
      <c r="N102" s="68">
        <f>H102+I102</f>
        <v>89</v>
      </c>
      <c r="O102" s="68">
        <f>J102+K102</f>
        <v>113</v>
      </c>
      <c r="P102" s="68">
        <f>L102+M102</f>
        <v>93</v>
      </c>
      <c r="Q102" s="78">
        <f>AVERAGE(H102,J102,L102)/F102</f>
        <v>983.33333333333326</v>
      </c>
      <c r="R102" s="82">
        <f>Q102*G102</f>
        <v>924333.33333333326</v>
      </c>
      <c r="S102" s="77">
        <f>800/Q102</f>
        <v>0.81355932203389836</v>
      </c>
      <c r="T102" s="80"/>
      <c r="U102" s="78">
        <f>R102-(S102*Q102*3)</f>
        <v>921933.33333333326</v>
      </c>
      <c r="V102" s="78">
        <v>96</v>
      </c>
      <c r="W102" s="78"/>
      <c r="X102" s="83"/>
    </row>
    <row r="103" spans="1:25" s="68" customFormat="1" x14ac:dyDescent="0.2">
      <c r="A103" s="87">
        <v>43202</v>
      </c>
      <c r="B103" s="87" t="s">
        <v>28</v>
      </c>
      <c r="C103" s="87" t="s">
        <v>311</v>
      </c>
      <c r="D103" s="88" t="s">
        <v>77</v>
      </c>
      <c r="E103" s="87" t="s">
        <v>52</v>
      </c>
      <c r="F103" s="81">
        <v>0.4</v>
      </c>
      <c r="G103" s="68">
        <v>580</v>
      </c>
      <c r="H103" s="68">
        <v>87</v>
      </c>
      <c r="I103" s="68">
        <v>0</v>
      </c>
      <c r="J103" s="68">
        <v>76</v>
      </c>
      <c r="K103" s="68">
        <v>1</v>
      </c>
      <c r="L103" s="68">
        <v>67</v>
      </c>
      <c r="M103" s="68">
        <v>0</v>
      </c>
      <c r="N103" s="68">
        <f>H103+I103</f>
        <v>87</v>
      </c>
      <c r="O103" s="68">
        <f>J103+K103</f>
        <v>77</v>
      </c>
      <c r="P103" s="68">
        <f>L103+M103</f>
        <v>67</v>
      </c>
      <c r="Q103" s="78">
        <f>AVERAGE(H103,J103,L103)/F103</f>
        <v>191.66666666666666</v>
      </c>
      <c r="R103" s="82">
        <f>Q103*G103</f>
        <v>111166.66666666666</v>
      </c>
      <c r="S103" s="77">
        <f>800/Q103</f>
        <v>4.1739130434782608</v>
      </c>
      <c r="T103" s="80"/>
      <c r="U103" s="78">
        <f>R103-(S103*Q103*3)</f>
        <v>108766.66666666666</v>
      </c>
      <c r="V103" s="78">
        <v>97</v>
      </c>
      <c r="W103" s="78"/>
      <c r="X103" s="83"/>
    </row>
    <row r="104" spans="1:25" s="68" customFormat="1" x14ac:dyDescent="0.2">
      <c r="A104" s="87">
        <v>43202</v>
      </c>
      <c r="B104" s="87" t="s">
        <v>29</v>
      </c>
      <c r="C104" s="87" t="s">
        <v>312</v>
      </c>
      <c r="D104" s="88" t="s">
        <v>119</v>
      </c>
      <c r="E104" s="87" t="s">
        <v>147</v>
      </c>
      <c r="F104" s="81">
        <v>0.3</v>
      </c>
      <c r="G104" s="68">
        <v>790</v>
      </c>
      <c r="H104" s="68">
        <v>75</v>
      </c>
      <c r="I104" s="68">
        <v>0</v>
      </c>
      <c r="J104" s="68">
        <v>83</v>
      </c>
      <c r="K104" s="68">
        <v>0</v>
      </c>
      <c r="L104" s="68">
        <v>81</v>
      </c>
      <c r="M104" s="68">
        <v>0</v>
      </c>
      <c r="N104" s="68">
        <f>H104+I104</f>
        <v>75</v>
      </c>
      <c r="O104" s="68">
        <f>J104+K104</f>
        <v>83</v>
      </c>
      <c r="P104" s="68">
        <f>L104+M104</f>
        <v>81</v>
      </c>
      <c r="Q104" s="78">
        <f>AVERAGE(H104,J104,L104)/F104</f>
        <v>265.5555555555556</v>
      </c>
      <c r="R104" s="82">
        <f>Q104*G104</f>
        <v>209788.88888888893</v>
      </c>
      <c r="S104" s="77">
        <f>800/Q104</f>
        <v>3.0125523012552295</v>
      </c>
      <c r="T104" s="80"/>
      <c r="U104" s="78">
        <f>R104-(S104*Q104*3)</f>
        <v>207388.88888888893</v>
      </c>
      <c r="V104" s="78">
        <v>98</v>
      </c>
      <c r="W104" s="78"/>
      <c r="X104" s="83"/>
    </row>
    <row r="105" spans="1:25" s="68" customFormat="1" x14ac:dyDescent="0.2">
      <c r="A105" s="87">
        <v>43202</v>
      </c>
      <c r="B105" s="87" t="s">
        <v>37</v>
      </c>
      <c r="C105" s="87" t="s">
        <v>312</v>
      </c>
      <c r="D105" s="88" t="s">
        <v>39</v>
      </c>
      <c r="E105" s="87" t="s">
        <v>145</v>
      </c>
      <c r="F105" s="81">
        <v>0.3</v>
      </c>
      <c r="G105" s="68">
        <v>525</v>
      </c>
      <c r="H105" s="68">
        <v>81</v>
      </c>
      <c r="I105" s="68">
        <v>0</v>
      </c>
      <c r="J105" s="68">
        <v>97</v>
      </c>
      <c r="K105" s="68">
        <v>0</v>
      </c>
      <c r="L105" s="68">
        <v>88</v>
      </c>
      <c r="M105" s="68">
        <v>0</v>
      </c>
      <c r="N105" s="68">
        <f>H105+I105</f>
        <v>81</v>
      </c>
      <c r="O105" s="68">
        <f>J105+K105</f>
        <v>97</v>
      </c>
      <c r="P105" s="68">
        <f>L105+M105</f>
        <v>88</v>
      </c>
      <c r="Q105" s="78">
        <f>AVERAGE(H105,J105,L105)/F105</f>
        <v>295.5555555555556</v>
      </c>
      <c r="R105" s="82">
        <f>Q105*G105</f>
        <v>155166.66666666669</v>
      </c>
      <c r="S105" s="77">
        <f>800/Q105</f>
        <v>2.7067669172932325</v>
      </c>
      <c r="T105" s="80"/>
      <c r="U105" s="78">
        <f>R105-(S105*Q105*3)</f>
        <v>152766.66666666669</v>
      </c>
      <c r="V105" s="78">
        <v>99</v>
      </c>
      <c r="W105" s="78"/>
      <c r="X105" s="83"/>
    </row>
    <row r="106" spans="1:25" x14ac:dyDescent="0.2">
      <c r="A106" s="34">
        <v>43203</v>
      </c>
      <c r="B106" s="34" t="s">
        <v>82</v>
      </c>
      <c r="C106" s="34" t="s">
        <v>312</v>
      </c>
      <c r="D106" s="45" t="s">
        <v>94</v>
      </c>
      <c r="E106" s="34" t="s">
        <v>165</v>
      </c>
      <c r="F106" s="30">
        <v>0.2</v>
      </c>
      <c r="G106" s="29">
        <v>850</v>
      </c>
      <c r="H106" s="29">
        <v>101</v>
      </c>
      <c r="I106" s="29">
        <v>0</v>
      </c>
      <c r="J106" s="29">
        <v>110</v>
      </c>
      <c r="K106" s="29">
        <v>0</v>
      </c>
      <c r="L106" s="29">
        <v>93</v>
      </c>
      <c r="M106" s="29">
        <v>0</v>
      </c>
      <c r="N106" s="72">
        <f>H106+I106</f>
        <v>101</v>
      </c>
      <c r="O106" s="72">
        <f>J106+K106</f>
        <v>110</v>
      </c>
      <c r="P106" s="72">
        <f>L106+M106</f>
        <v>93</v>
      </c>
      <c r="Q106" s="26">
        <f>AVERAGE(H106,J106,L106)/F106</f>
        <v>506.66666666666663</v>
      </c>
      <c r="R106" s="31">
        <f>Q106*G106</f>
        <v>430666.66666666663</v>
      </c>
      <c r="S106" s="24">
        <f>800/Q106</f>
        <v>1.5789473684210527</v>
      </c>
      <c r="T106" s="27"/>
      <c r="U106" s="26">
        <f>R106-(S106*Q106*3)</f>
        <v>428266.66666666663</v>
      </c>
      <c r="V106" s="26">
        <v>100</v>
      </c>
      <c r="W106" s="26"/>
    </row>
    <row r="107" spans="1:25" x14ac:dyDescent="0.2">
      <c r="A107" s="34">
        <v>43203</v>
      </c>
      <c r="B107" s="34" t="s">
        <v>58</v>
      </c>
      <c r="C107" s="34" t="s">
        <v>312</v>
      </c>
      <c r="D107" s="45" t="s">
        <v>59</v>
      </c>
      <c r="E107" s="34" t="s">
        <v>52</v>
      </c>
      <c r="F107" s="30">
        <v>0.4</v>
      </c>
      <c r="G107" s="29">
        <v>550</v>
      </c>
      <c r="H107" s="29">
        <v>74</v>
      </c>
      <c r="I107" s="29">
        <v>0</v>
      </c>
      <c r="J107" s="29">
        <v>76</v>
      </c>
      <c r="K107" s="29">
        <v>0</v>
      </c>
      <c r="L107" s="29">
        <v>61</v>
      </c>
      <c r="M107" s="29">
        <v>3</v>
      </c>
      <c r="N107" s="72">
        <f>H107+I107</f>
        <v>74</v>
      </c>
      <c r="O107" s="72">
        <f>J107+K107</f>
        <v>76</v>
      </c>
      <c r="P107" s="72">
        <f>L107+M107</f>
        <v>64</v>
      </c>
      <c r="Q107" s="26">
        <f>AVERAGE(H107,J107,L107)/F107</f>
        <v>175.83333333333331</v>
      </c>
      <c r="R107" s="31">
        <f>Q107*G107</f>
        <v>96708.333333333328</v>
      </c>
      <c r="S107" s="24">
        <f>800/Q107</f>
        <v>4.5497630331753562</v>
      </c>
      <c r="T107" s="27"/>
      <c r="U107" s="26">
        <f>R107-(S107*Q107*3)</f>
        <v>94308.333333333328</v>
      </c>
      <c r="V107" s="26">
        <v>101</v>
      </c>
      <c r="W107" s="26"/>
    </row>
    <row r="108" spans="1:25" x14ac:dyDescent="0.2">
      <c r="A108" s="22">
        <v>43203</v>
      </c>
      <c r="B108" s="22" t="s">
        <v>58</v>
      </c>
      <c r="C108" s="22" t="s">
        <v>311</v>
      </c>
      <c r="D108" s="40" t="s">
        <v>69</v>
      </c>
      <c r="E108" s="22" t="s">
        <v>110</v>
      </c>
      <c r="F108" s="24">
        <v>0.4</v>
      </c>
      <c r="G108" s="23">
        <v>560</v>
      </c>
      <c r="H108" s="23">
        <v>106</v>
      </c>
      <c r="I108" s="23">
        <v>0</v>
      </c>
      <c r="J108" s="23">
        <v>122</v>
      </c>
      <c r="K108" s="23">
        <v>0</v>
      </c>
      <c r="L108" s="23">
        <v>114</v>
      </c>
      <c r="M108" s="23">
        <v>0</v>
      </c>
      <c r="N108" s="71">
        <f>H108+I108</f>
        <v>106</v>
      </c>
      <c r="O108" s="71">
        <f>J108+K108</f>
        <v>122</v>
      </c>
      <c r="P108" s="71">
        <f>L108+M108</f>
        <v>114</v>
      </c>
      <c r="Q108" s="26">
        <f>AVERAGE(H108,J108,L108)/F108</f>
        <v>285</v>
      </c>
      <c r="R108" s="26">
        <f>Q108*G108</f>
        <v>159600</v>
      </c>
      <c r="S108" s="24">
        <f>800/Q108</f>
        <v>2.807017543859649</v>
      </c>
      <c r="T108" s="27"/>
      <c r="U108" s="26">
        <f>R108-(S108*Q108*3)</f>
        <v>157200</v>
      </c>
      <c r="V108" s="26">
        <v>102</v>
      </c>
      <c r="W108" s="26"/>
      <c r="X108" s="28"/>
      <c r="Y108" s="23"/>
    </row>
    <row r="109" spans="1:25" x14ac:dyDescent="0.2">
      <c r="A109" s="34">
        <v>43203</v>
      </c>
      <c r="B109" s="34" t="s">
        <v>28</v>
      </c>
      <c r="C109" s="34" t="s">
        <v>312</v>
      </c>
      <c r="D109" s="45" t="s">
        <v>68</v>
      </c>
      <c r="E109" s="34" t="s">
        <v>148</v>
      </c>
      <c r="F109" s="30">
        <v>0.2</v>
      </c>
      <c r="G109" s="29">
        <v>900</v>
      </c>
      <c r="H109" s="29">
        <v>108</v>
      </c>
      <c r="I109" s="29">
        <v>0</v>
      </c>
      <c r="J109" s="29">
        <v>136</v>
      </c>
      <c r="K109" s="29">
        <v>0</v>
      </c>
      <c r="L109" s="29">
        <v>106</v>
      </c>
      <c r="M109" s="29">
        <v>0</v>
      </c>
      <c r="N109" s="72">
        <f>H109+I109</f>
        <v>108</v>
      </c>
      <c r="O109" s="72">
        <f>J109+K109</f>
        <v>136</v>
      </c>
      <c r="P109" s="72">
        <f>L109+M109</f>
        <v>106</v>
      </c>
      <c r="Q109" s="26">
        <f>AVERAGE(H109,J109,L109)/F109</f>
        <v>583.33333333333337</v>
      </c>
      <c r="R109" s="31">
        <f>Q109*G109</f>
        <v>525000</v>
      </c>
      <c r="S109" s="24">
        <f>800/Q109</f>
        <v>1.3714285714285714</v>
      </c>
      <c r="T109" s="27"/>
      <c r="U109" s="26">
        <f>R109-(S109*Q109*3)</f>
        <v>522600</v>
      </c>
      <c r="V109" s="26">
        <v>103</v>
      </c>
      <c r="W109" s="26"/>
    </row>
    <row r="110" spans="1:25" x14ac:dyDescent="0.2">
      <c r="A110" s="34">
        <v>43203</v>
      </c>
      <c r="B110" s="34" t="s">
        <v>60</v>
      </c>
      <c r="C110" s="34" t="s">
        <v>312</v>
      </c>
      <c r="D110" s="45" t="s">
        <v>66</v>
      </c>
      <c r="E110" s="34" t="s">
        <v>150</v>
      </c>
      <c r="F110" s="30">
        <v>0.3</v>
      </c>
      <c r="G110" s="29">
        <v>750</v>
      </c>
      <c r="H110" s="29">
        <v>91</v>
      </c>
      <c r="I110" s="29">
        <v>0</v>
      </c>
      <c r="J110" s="29">
        <v>111</v>
      </c>
      <c r="K110" s="29">
        <v>0</v>
      </c>
      <c r="L110" s="29">
        <v>104</v>
      </c>
      <c r="M110" s="29">
        <v>0</v>
      </c>
      <c r="N110" s="72">
        <f>H110+I110</f>
        <v>91</v>
      </c>
      <c r="O110" s="72">
        <f>J110+K110</f>
        <v>111</v>
      </c>
      <c r="P110" s="72">
        <f>L110+M110</f>
        <v>104</v>
      </c>
      <c r="Q110" s="26">
        <f>AVERAGE(H110,J110,L110)/F110</f>
        <v>340</v>
      </c>
      <c r="R110" s="31">
        <f>Q110*G110</f>
        <v>255000</v>
      </c>
      <c r="S110" s="24">
        <f>800/Q110</f>
        <v>2.3529411764705883</v>
      </c>
      <c r="T110" s="27"/>
      <c r="U110" s="26">
        <f>R110-(S110*Q110*3)</f>
        <v>252600</v>
      </c>
      <c r="V110" s="26">
        <v>104</v>
      </c>
      <c r="W110" s="26"/>
    </row>
    <row r="111" spans="1:25" x14ac:dyDescent="0.2">
      <c r="A111" s="34">
        <v>43203</v>
      </c>
      <c r="B111" s="34" t="s">
        <v>36</v>
      </c>
      <c r="C111" s="34" t="s">
        <v>311</v>
      </c>
      <c r="D111" s="45" t="s">
        <v>38</v>
      </c>
      <c r="E111" s="34" t="s">
        <v>52</v>
      </c>
      <c r="F111" s="30">
        <v>0.4</v>
      </c>
      <c r="G111" s="29">
        <v>600</v>
      </c>
      <c r="H111" s="29">
        <v>153</v>
      </c>
      <c r="I111" s="29">
        <v>0</v>
      </c>
      <c r="J111" s="29">
        <v>139</v>
      </c>
      <c r="K111" s="29">
        <v>0</v>
      </c>
      <c r="L111" s="29">
        <v>161</v>
      </c>
      <c r="M111" s="29">
        <v>0</v>
      </c>
      <c r="N111" s="72">
        <f>H111+I111</f>
        <v>153</v>
      </c>
      <c r="O111" s="72">
        <f>J111+K111</f>
        <v>139</v>
      </c>
      <c r="P111" s="72">
        <f>L111+M111</f>
        <v>161</v>
      </c>
      <c r="Q111" s="26">
        <f>AVERAGE(H111,J111,L111)/F111</f>
        <v>377.5</v>
      </c>
      <c r="R111" s="31">
        <f>Q111*G111</f>
        <v>226500</v>
      </c>
      <c r="S111" s="24">
        <f>800/Q111</f>
        <v>2.1192052980132452</v>
      </c>
      <c r="T111" s="27"/>
      <c r="U111" s="26">
        <f>R111-(S111*Q111*3)</f>
        <v>224100</v>
      </c>
      <c r="V111" s="26">
        <v>105</v>
      </c>
      <c r="W111" s="26"/>
    </row>
    <row r="112" spans="1:25" x14ac:dyDescent="0.2">
      <c r="A112" s="34">
        <v>43203</v>
      </c>
      <c r="B112" s="22" t="s">
        <v>37</v>
      </c>
      <c r="C112" s="22" t="s">
        <v>312</v>
      </c>
      <c r="D112" s="40" t="s">
        <v>39</v>
      </c>
      <c r="E112" s="34" t="s">
        <v>52</v>
      </c>
      <c r="F112" s="30">
        <v>0.4</v>
      </c>
      <c r="G112" s="29">
        <v>640</v>
      </c>
      <c r="H112" s="29">
        <v>156</v>
      </c>
      <c r="I112" s="29">
        <v>0</v>
      </c>
      <c r="J112" s="29">
        <v>185</v>
      </c>
      <c r="K112" s="29">
        <v>0</v>
      </c>
      <c r="L112" s="29">
        <v>172</v>
      </c>
      <c r="M112" s="29">
        <v>0</v>
      </c>
      <c r="N112" s="72">
        <f>H112+I112</f>
        <v>156</v>
      </c>
      <c r="O112" s="72">
        <f>J112+K112</f>
        <v>185</v>
      </c>
      <c r="P112" s="72">
        <f>L112+M112</f>
        <v>172</v>
      </c>
      <c r="Q112" s="26">
        <f>AVERAGE(H112,J112,L112)/F112</f>
        <v>427.5</v>
      </c>
      <c r="R112" s="31">
        <f>Q112*G112</f>
        <v>273600</v>
      </c>
      <c r="S112" s="24">
        <f>800/Q112</f>
        <v>1.871345029239766</v>
      </c>
      <c r="T112" s="27"/>
      <c r="U112" s="26">
        <f>R112-(S112*Q112*3)</f>
        <v>271200</v>
      </c>
      <c r="V112" s="26">
        <v>106</v>
      </c>
      <c r="W112" s="26"/>
    </row>
    <row r="113" spans="1:24" s="68" customFormat="1" x14ac:dyDescent="0.2">
      <c r="A113" s="75">
        <v>43204</v>
      </c>
      <c r="B113" s="75" t="s">
        <v>37</v>
      </c>
      <c r="C113" s="75" t="s">
        <v>312</v>
      </c>
      <c r="D113" s="76" t="s">
        <v>39</v>
      </c>
      <c r="E113" s="87" t="s">
        <v>52</v>
      </c>
      <c r="F113" s="81">
        <v>0.15</v>
      </c>
      <c r="G113" s="68">
        <v>960</v>
      </c>
      <c r="H113" s="68">
        <v>171</v>
      </c>
      <c r="I113" s="68">
        <v>0</v>
      </c>
      <c r="J113" s="68">
        <v>176</v>
      </c>
      <c r="K113" s="68">
        <v>0</v>
      </c>
      <c r="L113" s="68">
        <v>146</v>
      </c>
      <c r="M113" s="68">
        <v>1</v>
      </c>
      <c r="N113" s="72">
        <f>H113+I113</f>
        <v>171</v>
      </c>
      <c r="O113" s="72">
        <f>J113+K113</f>
        <v>176</v>
      </c>
      <c r="P113" s="72">
        <f>L113+M113</f>
        <v>147</v>
      </c>
      <c r="Q113" s="78">
        <f>AVERAGE(H113,J113,L113)/F113</f>
        <v>1095.5555555555557</v>
      </c>
      <c r="R113" s="82">
        <f>Q113*G113</f>
        <v>1051733.3333333335</v>
      </c>
      <c r="S113" s="77">
        <f>800/Q113</f>
        <v>0.7302231237322514</v>
      </c>
      <c r="T113" s="80"/>
      <c r="U113" s="78">
        <f>R113-(S113*Q113*3)</f>
        <v>1049333.3333333335</v>
      </c>
      <c r="V113" s="78">
        <v>107</v>
      </c>
      <c r="W113" s="78"/>
      <c r="X113" s="83"/>
    </row>
    <row r="114" spans="1:24" s="68" customFormat="1" x14ac:dyDescent="0.2">
      <c r="A114" s="75">
        <v>43204</v>
      </c>
      <c r="B114" s="75" t="s">
        <v>60</v>
      </c>
      <c r="C114" s="75" t="s">
        <v>312</v>
      </c>
      <c r="D114" s="76" t="s">
        <v>66</v>
      </c>
      <c r="E114" s="87" t="s">
        <v>52</v>
      </c>
      <c r="F114" s="81">
        <v>0.6</v>
      </c>
      <c r="G114" s="68">
        <v>500</v>
      </c>
      <c r="H114" s="68">
        <v>144</v>
      </c>
      <c r="I114" s="68">
        <v>8</v>
      </c>
      <c r="J114" s="68">
        <v>117</v>
      </c>
      <c r="K114" s="68">
        <v>19</v>
      </c>
      <c r="L114" s="68">
        <v>113</v>
      </c>
      <c r="M114" s="68">
        <v>13</v>
      </c>
      <c r="N114" s="72">
        <f>H114+I114</f>
        <v>152</v>
      </c>
      <c r="O114" s="72">
        <f>J114+K114</f>
        <v>136</v>
      </c>
      <c r="P114" s="72">
        <f>L114+M114</f>
        <v>126</v>
      </c>
      <c r="Q114" s="78">
        <f>AVERAGE(H114,J114,L114)/F114</f>
        <v>207.7777777777778</v>
      </c>
      <c r="R114" s="82">
        <f>Q114*G114</f>
        <v>103888.88888888891</v>
      </c>
      <c r="S114" s="77">
        <f>800/Q114</f>
        <v>3.8502673796791438</v>
      </c>
      <c r="T114" s="80"/>
      <c r="U114" s="78">
        <f>R114-(S114*Q114*3)</f>
        <v>101488.88888888891</v>
      </c>
      <c r="V114" s="78">
        <v>108</v>
      </c>
      <c r="W114" s="78"/>
      <c r="X114" s="135"/>
    </row>
    <row r="115" spans="1:24" s="68" customFormat="1" x14ac:dyDescent="0.2">
      <c r="A115" s="75">
        <v>43204</v>
      </c>
      <c r="B115" s="75" t="s">
        <v>37</v>
      </c>
      <c r="C115" s="75" t="s">
        <v>311</v>
      </c>
      <c r="D115" s="76" t="s">
        <v>67</v>
      </c>
      <c r="E115" s="87" t="s">
        <v>111</v>
      </c>
      <c r="F115" s="81">
        <v>0.5</v>
      </c>
      <c r="G115" s="68">
        <v>600</v>
      </c>
      <c r="H115" s="68">
        <v>140</v>
      </c>
      <c r="I115" s="68">
        <v>0</v>
      </c>
      <c r="J115" s="68">
        <v>145</v>
      </c>
      <c r="K115" s="68">
        <v>1</v>
      </c>
      <c r="L115" s="68">
        <v>137</v>
      </c>
      <c r="M115" s="68">
        <v>3</v>
      </c>
      <c r="N115" s="72">
        <f>H115+I115</f>
        <v>140</v>
      </c>
      <c r="O115" s="72">
        <f>J115+K115</f>
        <v>146</v>
      </c>
      <c r="P115" s="72">
        <f>L115+M115</f>
        <v>140</v>
      </c>
      <c r="Q115" s="78">
        <f>AVERAGE(H115,J115,L115)/F115</f>
        <v>281.33333333333331</v>
      </c>
      <c r="R115" s="82">
        <f>Q115*G115</f>
        <v>168800</v>
      </c>
      <c r="S115" s="77">
        <f>800/Q115</f>
        <v>2.8436018957345972</v>
      </c>
      <c r="T115" s="80"/>
      <c r="U115" s="78">
        <f>R115-(S115*Q115*3)</f>
        <v>166400</v>
      </c>
      <c r="V115" s="78">
        <v>109</v>
      </c>
      <c r="W115" s="78"/>
      <c r="X115" s="83"/>
    </row>
    <row r="116" spans="1:24" s="68" customFormat="1" x14ac:dyDescent="0.2">
      <c r="A116" s="75">
        <v>43204</v>
      </c>
      <c r="B116" s="75" t="s">
        <v>28</v>
      </c>
      <c r="C116" s="75" t="s">
        <v>312</v>
      </c>
      <c r="D116" s="76" t="s">
        <v>68</v>
      </c>
      <c r="E116" s="87" t="s">
        <v>52</v>
      </c>
      <c r="F116" s="81">
        <v>0.6</v>
      </c>
      <c r="G116" s="68">
        <v>550</v>
      </c>
      <c r="H116" s="68">
        <v>97</v>
      </c>
      <c r="I116" s="68">
        <v>0</v>
      </c>
      <c r="J116" s="68">
        <v>97</v>
      </c>
      <c r="K116" s="68">
        <v>0</v>
      </c>
      <c r="L116" s="68">
        <v>959</v>
      </c>
      <c r="M116" s="68">
        <v>0</v>
      </c>
      <c r="N116" s="72">
        <f>H116+I116</f>
        <v>97</v>
      </c>
      <c r="O116" s="72">
        <f>J116+K116</f>
        <v>97</v>
      </c>
      <c r="P116" s="72">
        <f>L116+M116</f>
        <v>959</v>
      </c>
      <c r="Q116" s="78">
        <f>AVERAGE(H116,J116,L116)/F116</f>
        <v>640.55555555555554</v>
      </c>
      <c r="R116" s="82">
        <f>Q116*G116</f>
        <v>352305.55555555556</v>
      </c>
      <c r="S116" s="77">
        <f>800/Q116</f>
        <v>1.2489158716392021</v>
      </c>
      <c r="T116" s="80"/>
      <c r="U116" s="78">
        <f>R116-(S116*Q116*3)</f>
        <v>349905.55555555556</v>
      </c>
      <c r="V116" s="78">
        <v>110</v>
      </c>
      <c r="W116" s="78"/>
      <c r="X116" s="83"/>
    </row>
    <row r="117" spans="1:24" s="68" customFormat="1" x14ac:dyDescent="0.2">
      <c r="A117" s="75">
        <v>43204</v>
      </c>
      <c r="B117" s="75" t="s">
        <v>82</v>
      </c>
      <c r="C117" s="75" t="s">
        <v>311</v>
      </c>
      <c r="D117" s="76" t="s">
        <v>113</v>
      </c>
      <c r="E117" s="87" t="s">
        <v>149</v>
      </c>
      <c r="F117" s="81">
        <v>0.1</v>
      </c>
      <c r="G117" s="68">
        <v>970</v>
      </c>
      <c r="H117" s="68">
        <v>105</v>
      </c>
      <c r="I117" s="68">
        <v>0</v>
      </c>
      <c r="J117" s="68">
        <v>122</v>
      </c>
      <c r="K117" s="68">
        <v>0</v>
      </c>
      <c r="L117" s="68">
        <v>120</v>
      </c>
      <c r="M117" s="68">
        <v>0</v>
      </c>
      <c r="N117" s="72">
        <f>H117+I117</f>
        <v>105</v>
      </c>
      <c r="O117" s="72">
        <f>J117+K117</f>
        <v>122</v>
      </c>
      <c r="P117" s="72">
        <f>L117+M117</f>
        <v>120</v>
      </c>
      <c r="Q117" s="78">
        <f>AVERAGE(H117,J117,L117)/F117</f>
        <v>1156.6666666666667</v>
      </c>
      <c r="R117" s="82">
        <f>Q117*G117</f>
        <v>1121966.6666666667</v>
      </c>
      <c r="S117" s="77">
        <f>800/Q117</f>
        <v>0.69164265129682989</v>
      </c>
      <c r="T117" s="80"/>
      <c r="U117" s="78">
        <f>R117-(S117*Q117*3)</f>
        <v>1119566.6666666667</v>
      </c>
      <c r="V117" s="78">
        <v>111</v>
      </c>
      <c r="W117" s="78"/>
      <c r="X117" s="83"/>
    </row>
    <row r="118" spans="1:24" s="68" customFormat="1" x14ac:dyDescent="0.2">
      <c r="A118" s="75">
        <v>43204</v>
      </c>
      <c r="B118" s="75" t="s">
        <v>82</v>
      </c>
      <c r="C118" s="75" t="s">
        <v>312</v>
      </c>
      <c r="D118" s="76" t="s">
        <v>94</v>
      </c>
      <c r="E118" s="87" t="s">
        <v>52</v>
      </c>
      <c r="F118" s="81">
        <v>0.3</v>
      </c>
      <c r="G118" s="68">
        <v>600</v>
      </c>
      <c r="H118" s="68">
        <v>123</v>
      </c>
      <c r="I118" s="68">
        <v>0</v>
      </c>
      <c r="J118" s="68">
        <v>115</v>
      </c>
      <c r="K118" s="68">
        <v>0</v>
      </c>
      <c r="L118" s="68">
        <v>135</v>
      </c>
      <c r="M118" s="68">
        <v>0</v>
      </c>
      <c r="N118" s="72">
        <f>H118+I118</f>
        <v>123</v>
      </c>
      <c r="O118" s="72">
        <f>J118+K118</f>
        <v>115</v>
      </c>
      <c r="P118" s="72">
        <f>L118+M118</f>
        <v>135</v>
      </c>
      <c r="Q118" s="78">
        <f>AVERAGE(H118,J118,L118)/F118</f>
        <v>414.44444444444446</v>
      </c>
      <c r="R118" s="82">
        <f>Q118*G118</f>
        <v>248666.66666666669</v>
      </c>
      <c r="S118" s="77">
        <f>800/Q118</f>
        <v>1.9302949061662198</v>
      </c>
      <c r="T118" s="80"/>
      <c r="U118" s="78">
        <f>R118-(S118*Q118*3)</f>
        <v>246266.66666666669</v>
      </c>
      <c r="V118" s="78">
        <v>112</v>
      </c>
      <c r="W118" s="78"/>
      <c r="X118" s="83"/>
    </row>
    <row r="119" spans="1:24" s="68" customFormat="1" x14ac:dyDescent="0.2">
      <c r="A119" s="75">
        <v>43204</v>
      </c>
      <c r="B119" s="75" t="s">
        <v>83</v>
      </c>
      <c r="C119" s="75" t="s">
        <v>312</v>
      </c>
      <c r="D119" s="76" t="s">
        <v>95</v>
      </c>
      <c r="E119" s="87" t="s">
        <v>163</v>
      </c>
      <c r="F119" s="81">
        <v>0.6</v>
      </c>
      <c r="G119" s="68">
        <v>485</v>
      </c>
      <c r="H119" s="68">
        <v>114</v>
      </c>
      <c r="I119" s="68">
        <v>2</v>
      </c>
      <c r="J119" s="68">
        <v>110</v>
      </c>
      <c r="K119" s="68">
        <v>1</v>
      </c>
      <c r="L119" s="68">
        <v>126</v>
      </c>
      <c r="M119" s="68">
        <v>3</v>
      </c>
      <c r="N119" s="72">
        <f>H119+I119</f>
        <v>116</v>
      </c>
      <c r="O119" s="72">
        <f>J119+K119</f>
        <v>111</v>
      </c>
      <c r="P119" s="72">
        <f>L119+M119</f>
        <v>129</v>
      </c>
      <c r="Q119" s="78">
        <f>AVERAGE(H119,J119,L119)/F119</f>
        <v>194.44444444444446</v>
      </c>
      <c r="R119" s="82">
        <f>Q119*G119</f>
        <v>94305.555555555562</v>
      </c>
      <c r="S119" s="77">
        <f>800/Q119</f>
        <v>4.1142857142857139</v>
      </c>
      <c r="T119" s="80"/>
      <c r="U119" s="78">
        <f>R119-(S119*Q119*3)</f>
        <v>91905.555555555562</v>
      </c>
      <c r="V119" s="78">
        <v>113</v>
      </c>
      <c r="W119" s="78"/>
      <c r="X119" s="83"/>
    </row>
    <row r="120" spans="1:24" x14ac:dyDescent="0.2">
      <c r="A120" s="22">
        <v>43205</v>
      </c>
      <c r="B120" s="22" t="s">
        <v>29</v>
      </c>
      <c r="C120" s="22" t="s">
        <v>312</v>
      </c>
      <c r="D120" s="40" t="s">
        <v>119</v>
      </c>
      <c r="E120" s="34" t="s">
        <v>52</v>
      </c>
      <c r="F120" s="30">
        <v>0.25</v>
      </c>
      <c r="G120" s="29">
        <v>825</v>
      </c>
      <c r="H120" s="29">
        <v>144</v>
      </c>
      <c r="I120" s="29">
        <v>18</v>
      </c>
      <c r="J120" s="29">
        <v>143</v>
      </c>
      <c r="K120" s="29">
        <v>16</v>
      </c>
      <c r="L120" s="29">
        <v>153</v>
      </c>
      <c r="M120" s="29">
        <v>24</v>
      </c>
      <c r="N120" s="29">
        <f>H120+I120</f>
        <v>162</v>
      </c>
      <c r="O120" s="29">
        <f>J120+K120</f>
        <v>159</v>
      </c>
      <c r="P120" s="29">
        <f>L120+M120</f>
        <v>177</v>
      </c>
      <c r="Q120" s="26">
        <f>AVERAGE(H120,J120,L120)/F120</f>
        <v>586.66666666666663</v>
      </c>
      <c r="R120" s="31">
        <f>Q120*G120</f>
        <v>483999.99999999994</v>
      </c>
      <c r="S120" s="24">
        <f>800/Q120</f>
        <v>1.3636363636363638</v>
      </c>
      <c r="T120" s="27"/>
      <c r="U120" s="26">
        <f>R120-(S120*Q120*3)</f>
        <v>481599.99999999994</v>
      </c>
      <c r="V120" s="26">
        <v>114</v>
      </c>
      <c r="W120" s="26">
        <v>3</v>
      </c>
    </row>
    <row r="121" spans="1:24" x14ac:dyDescent="0.2">
      <c r="A121" s="22">
        <v>43205</v>
      </c>
      <c r="B121" s="22" t="s">
        <v>58</v>
      </c>
      <c r="C121" s="22" t="s">
        <v>312</v>
      </c>
      <c r="D121" s="40" t="s">
        <v>59</v>
      </c>
      <c r="E121" s="34" t="s">
        <v>52</v>
      </c>
      <c r="F121" s="30">
        <v>0.4</v>
      </c>
      <c r="G121" s="29">
        <v>610</v>
      </c>
      <c r="H121" s="29">
        <v>113</v>
      </c>
      <c r="I121" s="29">
        <v>0</v>
      </c>
      <c r="J121" s="29">
        <v>124</v>
      </c>
      <c r="K121" s="29">
        <v>2</v>
      </c>
      <c r="L121" s="29">
        <v>124</v>
      </c>
      <c r="M121" s="29">
        <v>2</v>
      </c>
      <c r="N121" s="72">
        <f>H121+I121</f>
        <v>113</v>
      </c>
      <c r="O121" s="72">
        <f>J121+K121</f>
        <v>126</v>
      </c>
      <c r="P121" s="72">
        <f>L121+M121</f>
        <v>126</v>
      </c>
      <c r="Q121" s="26">
        <f>AVERAGE(H121,J121,L121)/F121</f>
        <v>300.83333333333331</v>
      </c>
      <c r="R121" s="31">
        <f>Q121*G121</f>
        <v>183508.33333333331</v>
      </c>
      <c r="S121" s="24">
        <f>800/Q121</f>
        <v>2.6592797783933522</v>
      </c>
      <c r="T121" s="27"/>
      <c r="U121" s="26">
        <f>R121-(S121*Q121*3)</f>
        <v>181108.33333333331</v>
      </c>
      <c r="V121" s="26">
        <v>115</v>
      </c>
      <c r="W121" s="26">
        <v>2</v>
      </c>
    </row>
    <row r="122" spans="1:24" x14ac:dyDescent="0.2">
      <c r="A122" s="22">
        <v>43205</v>
      </c>
      <c r="B122" s="96" t="s">
        <v>28</v>
      </c>
      <c r="C122" s="96" t="s">
        <v>312</v>
      </c>
      <c r="D122" s="40" t="s">
        <v>68</v>
      </c>
      <c r="E122" s="34" t="s">
        <v>146</v>
      </c>
      <c r="F122" s="30">
        <v>0.25</v>
      </c>
      <c r="G122" s="29">
        <v>880</v>
      </c>
      <c r="H122" s="29">
        <v>171</v>
      </c>
      <c r="I122" s="29">
        <v>0</v>
      </c>
      <c r="J122" s="29">
        <v>193</v>
      </c>
      <c r="K122" s="29">
        <v>1</v>
      </c>
      <c r="L122" s="29">
        <v>185</v>
      </c>
      <c r="M122" s="29">
        <v>1</v>
      </c>
      <c r="N122" s="72">
        <f>H122+I122</f>
        <v>171</v>
      </c>
      <c r="O122" s="72">
        <f>J122+K122</f>
        <v>194</v>
      </c>
      <c r="P122" s="72">
        <f>L122+M122</f>
        <v>186</v>
      </c>
      <c r="Q122" s="26">
        <f>AVERAGE(H122,J122,L122)/F122</f>
        <v>732</v>
      </c>
      <c r="R122" s="31">
        <f>Q122*G122</f>
        <v>644160</v>
      </c>
      <c r="S122" s="24">
        <f>800/Q122</f>
        <v>1.0928961748633881</v>
      </c>
      <c r="T122" s="27"/>
      <c r="U122" s="26">
        <f>R122-(S122*Q122*3)</f>
        <v>641760</v>
      </c>
      <c r="V122" s="26">
        <v>116</v>
      </c>
      <c r="W122" s="26">
        <v>3</v>
      </c>
    </row>
    <row r="123" spans="1:24" x14ac:dyDescent="0.2">
      <c r="A123" s="22">
        <v>43205</v>
      </c>
      <c r="B123" s="22" t="s">
        <v>60</v>
      </c>
      <c r="C123" s="22" t="s">
        <v>312</v>
      </c>
      <c r="D123" s="40" t="s">
        <v>66</v>
      </c>
      <c r="E123" s="34" t="s">
        <v>52</v>
      </c>
      <c r="F123" s="30">
        <v>0.15</v>
      </c>
      <c r="G123" s="29">
        <v>940</v>
      </c>
      <c r="H123" s="29">
        <v>143</v>
      </c>
      <c r="I123" s="29">
        <v>0</v>
      </c>
      <c r="J123" s="29">
        <v>141</v>
      </c>
      <c r="K123" s="29">
        <v>0</v>
      </c>
      <c r="L123" s="29">
        <v>121</v>
      </c>
      <c r="M123" s="29">
        <v>0</v>
      </c>
      <c r="N123" s="72">
        <f>H123+I123</f>
        <v>143</v>
      </c>
      <c r="O123" s="72">
        <f>J123+K123</f>
        <v>141</v>
      </c>
      <c r="P123" s="72">
        <f>L123+M123</f>
        <v>121</v>
      </c>
      <c r="Q123" s="26">
        <f>AVERAGE(H123,J123,L123)/F123</f>
        <v>900</v>
      </c>
      <c r="R123" s="31">
        <f>Q123*G123</f>
        <v>846000</v>
      </c>
      <c r="S123" s="24">
        <f>800/Q123</f>
        <v>0.88888888888888884</v>
      </c>
      <c r="T123" s="27"/>
      <c r="U123" s="26">
        <f>R123-(S123*Q123*3)</f>
        <v>843600</v>
      </c>
      <c r="V123" s="26">
        <v>117</v>
      </c>
      <c r="W123" s="26">
        <v>3</v>
      </c>
    </row>
    <row r="124" spans="1:24" x14ac:dyDescent="0.2">
      <c r="A124" s="22">
        <v>43205</v>
      </c>
      <c r="B124" s="96" t="s">
        <v>36</v>
      </c>
      <c r="C124" s="96" t="s">
        <v>311</v>
      </c>
      <c r="D124" s="40" t="s">
        <v>38</v>
      </c>
      <c r="E124" s="34" t="s">
        <v>52</v>
      </c>
      <c r="F124" s="30">
        <v>0.4</v>
      </c>
      <c r="G124" s="29">
        <v>700</v>
      </c>
      <c r="H124" s="29">
        <v>126</v>
      </c>
      <c r="I124" s="29">
        <v>0</v>
      </c>
      <c r="J124" s="29">
        <v>116</v>
      </c>
      <c r="K124" s="29">
        <v>0</v>
      </c>
      <c r="L124" s="29">
        <v>116</v>
      </c>
      <c r="M124" s="29">
        <v>0</v>
      </c>
      <c r="N124" s="72">
        <f>H124+I124</f>
        <v>126</v>
      </c>
      <c r="O124" s="72">
        <f>J124+K124</f>
        <v>116</v>
      </c>
      <c r="P124" s="72">
        <f>L124+M124</f>
        <v>116</v>
      </c>
      <c r="Q124" s="26">
        <f>AVERAGE(H124,J124,L124)/F124</f>
        <v>298.33333333333331</v>
      </c>
      <c r="R124" s="31">
        <f>Q124*G124</f>
        <v>208833.33333333331</v>
      </c>
      <c r="S124" s="24">
        <f>800/Q124</f>
        <v>2.6815642458100561</v>
      </c>
      <c r="T124" s="27"/>
      <c r="U124" s="26">
        <f>R124-(S124*Q124*3)</f>
        <v>206433.33333333331</v>
      </c>
      <c r="V124" s="26">
        <v>118</v>
      </c>
      <c r="W124" s="26">
        <v>2</v>
      </c>
    </row>
    <row r="125" spans="1:24" x14ac:dyDescent="0.2">
      <c r="A125" s="22">
        <v>43205</v>
      </c>
      <c r="B125" s="22" t="s">
        <v>83</v>
      </c>
      <c r="C125" s="22" t="s">
        <v>311</v>
      </c>
      <c r="D125" s="40" t="s">
        <v>96</v>
      </c>
      <c r="E125" s="34" t="s">
        <v>164</v>
      </c>
      <c r="F125" s="30">
        <v>0.25</v>
      </c>
      <c r="G125" s="29">
        <v>890</v>
      </c>
      <c r="H125" s="29">
        <v>182</v>
      </c>
      <c r="I125" s="29">
        <v>1</v>
      </c>
      <c r="J125" s="29">
        <v>171</v>
      </c>
      <c r="K125" s="29">
        <v>1</v>
      </c>
      <c r="L125" s="29">
        <v>166</v>
      </c>
      <c r="M125" s="29">
        <v>1</v>
      </c>
      <c r="N125" s="72">
        <f>H125+I125</f>
        <v>183</v>
      </c>
      <c r="O125" s="72">
        <f>J125+K125</f>
        <v>172</v>
      </c>
      <c r="P125" s="72">
        <f>L125+M125</f>
        <v>167</v>
      </c>
      <c r="Q125" s="26">
        <f>AVERAGE(H125,J125,L125)/F125</f>
        <v>692</v>
      </c>
      <c r="R125" s="31">
        <f>Q125*G125</f>
        <v>615880</v>
      </c>
      <c r="S125" s="24">
        <f>800/Q125</f>
        <v>1.1560693641618498</v>
      </c>
      <c r="T125" s="27"/>
      <c r="U125" s="26">
        <f>R125-(S125*Q125*3)</f>
        <v>613480</v>
      </c>
      <c r="V125" s="26">
        <v>119</v>
      </c>
      <c r="W125" s="26">
        <v>3</v>
      </c>
    </row>
    <row r="126" spans="1:24" s="68" customFormat="1" x14ac:dyDescent="0.2">
      <c r="A126" s="75">
        <v>43206</v>
      </c>
      <c r="B126" s="75" t="s">
        <v>83</v>
      </c>
      <c r="C126" s="75" t="s">
        <v>312</v>
      </c>
      <c r="D126" s="76" t="s">
        <v>95</v>
      </c>
      <c r="E126" s="87" t="s">
        <v>170</v>
      </c>
      <c r="F126" s="81">
        <v>0.4</v>
      </c>
      <c r="G126" s="68">
        <v>665</v>
      </c>
      <c r="H126" s="68">
        <v>118</v>
      </c>
      <c r="I126" s="68">
        <v>3</v>
      </c>
      <c r="J126" s="68">
        <v>104</v>
      </c>
      <c r="K126" s="68">
        <v>2</v>
      </c>
      <c r="L126" s="68">
        <v>113</v>
      </c>
      <c r="M126" s="68">
        <v>3</v>
      </c>
      <c r="N126" s="68">
        <f>H126+I126</f>
        <v>121</v>
      </c>
      <c r="O126" s="68">
        <f>J126+K126</f>
        <v>106</v>
      </c>
      <c r="P126" s="68">
        <f>L126+M126</f>
        <v>116</v>
      </c>
      <c r="Q126" s="78">
        <f>AVERAGE(H126,J126,L126)/F126</f>
        <v>279.16666666666669</v>
      </c>
      <c r="R126" s="82">
        <f>Q126*G126</f>
        <v>185645.83333333334</v>
      </c>
      <c r="S126" s="77">
        <f>800/Q126</f>
        <v>2.8656716417910446</v>
      </c>
      <c r="T126" s="80"/>
      <c r="U126" s="78">
        <f>R126-(S126*Q126*3)</f>
        <v>183245.83333333334</v>
      </c>
      <c r="V126" s="78">
        <v>120</v>
      </c>
      <c r="W126" s="78"/>
      <c r="X126" s="83"/>
    </row>
    <row r="127" spans="1:24" s="68" customFormat="1" x14ac:dyDescent="0.2">
      <c r="A127" s="75">
        <v>43206</v>
      </c>
      <c r="B127" s="75" t="s">
        <v>36</v>
      </c>
      <c r="C127" s="75" t="s">
        <v>312</v>
      </c>
      <c r="D127" s="76" t="s">
        <v>42</v>
      </c>
      <c r="E127" s="87" t="s">
        <v>100</v>
      </c>
      <c r="F127" s="81">
        <v>0.6</v>
      </c>
      <c r="G127" s="68">
        <v>490</v>
      </c>
      <c r="H127" s="68">
        <v>122</v>
      </c>
      <c r="I127" s="68">
        <v>5</v>
      </c>
      <c r="J127" s="68">
        <v>128</v>
      </c>
      <c r="K127" s="68">
        <v>3</v>
      </c>
      <c r="L127" s="68">
        <v>121</v>
      </c>
      <c r="M127" s="68">
        <v>10</v>
      </c>
      <c r="N127" s="68">
        <f>H127+I127</f>
        <v>127</v>
      </c>
      <c r="O127" s="68">
        <f>J127+K127</f>
        <v>131</v>
      </c>
      <c r="P127" s="68">
        <f>L127+M127</f>
        <v>131</v>
      </c>
      <c r="Q127" s="78">
        <f>AVERAGE(H127,J127,L127)/F127</f>
        <v>206.11111111111111</v>
      </c>
      <c r="R127" s="82">
        <f>Q127*G127</f>
        <v>100994.44444444445</v>
      </c>
      <c r="S127" s="77">
        <f>800/Q127</f>
        <v>3.881401617250674</v>
      </c>
      <c r="T127" s="80"/>
      <c r="U127" s="78">
        <f>R127-(S127*Q127*3)</f>
        <v>98594.444444444453</v>
      </c>
      <c r="V127" s="78">
        <v>121</v>
      </c>
      <c r="W127" s="78"/>
      <c r="X127" s="83"/>
    </row>
    <row r="128" spans="1:24" s="68" customFormat="1" hidden="1" x14ac:dyDescent="0.2">
      <c r="A128" s="75">
        <v>43206</v>
      </c>
      <c r="B128" s="75" t="s">
        <v>83</v>
      </c>
      <c r="C128" s="75" t="s">
        <v>311</v>
      </c>
      <c r="D128" s="76" t="s">
        <v>96</v>
      </c>
      <c r="E128" s="87" t="s">
        <v>52</v>
      </c>
      <c r="F128" s="81">
        <v>0.8</v>
      </c>
      <c r="G128" s="68">
        <v>475</v>
      </c>
      <c r="H128" s="68">
        <v>22</v>
      </c>
      <c r="I128" s="68">
        <v>0</v>
      </c>
      <c r="J128" s="68">
        <v>26</v>
      </c>
      <c r="K128" s="68">
        <v>0</v>
      </c>
      <c r="L128" s="68">
        <v>12</v>
      </c>
      <c r="M128" s="68">
        <v>0</v>
      </c>
      <c r="N128" s="68">
        <f>H128+I128</f>
        <v>22</v>
      </c>
      <c r="O128" s="68">
        <f>J128+K128</f>
        <v>26</v>
      </c>
      <c r="P128" s="68">
        <f>L128+M128</f>
        <v>12</v>
      </c>
      <c r="Q128" s="78">
        <f>AVERAGE(H128,J128,L128)/F128</f>
        <v>25</v>
      </c>
      <c r="R128" s="82">
        <f>Q128*G128</f>
        <v>11875</v>
      </c>
      <c r="S128" s="77">
        <f>800/Q128</f>
        <v>32</v>
      </c>
      <c r="T128" s="80"/>
      <c r="U128" s="78">
        <f>R128-(S128*Q128*3)</f>
        <v>9475</v>
      </c>
      <c r="V128" s="78">
        <v>122</v>
      </c>
      <c r="W128" s="78"/>
      <c r="X128" s="83"/>
    </row>
    <row r="129" spans="1:24" hidden="1" x14ac:dyDescent="0.2">
      <c r="A129" s="22">
        <v>43207</v>
      </c>
      <c r="B129" s="22" t="s">
        <v>82</v>
      </c>
      <c r="C129" s="22" t="s">
        <v>311</v>
      </c>
      <c r="D129" s="40" t="s">
        <v>113</v>
      </c>
      <c r="E129" s="34" t="s">
        <v>52</v>
      </c>
      <c r="F129" s="30">
        <v>0.4</v>
      </c>
      <c r="G129" s="29">
        <v>580</v>
      </c>
      <c r="H129" s="29">
        <v>100</v>
      </c>
      <c r="I129" s="29">
        <v>15</v>
      </c>
      <c r="J129" s="29">
        <v>97</v>
      </c>
      <c r="K129" s="29">
        <v>20</v>
      </c>
      <c r="L129" s="29">
        <v>92</v>
      </c>
      <c r="M129" s="29">
        <v>23</v>
      </c>
      <c r="N129" s="72">
        <f>I129+J129</f>
        <v>112</v>
      </c>
      <c r="O129" s="72">
        <f>K129+L129</f>
        <v>112</v>
      </c>
      <c r="P129" s="72">
        <f>L129+M129</f>
        <v>115</v>
      </c>
      <c r="Q129" s="26">
        <f>AVERAGE(H129,J129,L129)/F129</f>
        <v>240.83333333333331</v>
      </c>
      <c r="R129" s="31">
        <f>Q129*H129</f>
        <v>24083.333333333332</v>
      </c>
      <c r="S129" s="24">
        <f>800/Q129</f>
        <v>3.3217993079584778</v>
      </c>
      <c r="T129" s="27"/>
      <c r="U129" s="26">
        <f>R129-(S129*Q129*3)</f>
        <v>21683.333333333332</v>
      </c>
      <c r="V129" s="26">
        <v>123</v>
      </c>
      <c r="W129" s="26"/>
    </row>
    <row r="130" spans="1:24" hidden="1" x14ac:dyDescent="0.2">
      <c r="A130" s="22">
        <v>43207</v>
      </c>
      <c r="B130" s="22" t="s">
        <v>28</v>
      </c>
      <c r="C130" s="22" t="s">
        <v>311</v>
      </c>
      <c r="D130" s="40" t="s">
        <v>77</v>
      </c>
      <c r="E130" s="34" t="s">
        <v>52</v>
      </c>
      <c r="F130" s="30">
        <v>0.7</v>
      </c>
      <c r="G130" s="29">
        <v>490</v>
      </c>
      <c r="H130" s="137">
        <v>97</v>
      </c>
      <c r="I130" s="137">
        <v>10</v>
      </c>
      <c r="J130" s="137">
        <v>92</v>
      </c>
      <c r="K130" s="137">
        <v>10</v>
      </c>
      <c r="L130" s="137">
        <v>127</v>
      </c>
      <c r="M130" s="137">
        <v>6</v>
      </c>
      <c r="N130" s="72">
        <f>I130+J130</f>
        <v>102</v>
      </c>
      <c r="O130" s="72">
        <f>K130+L130</f>
        <v>137</v>
      </c>
      <c r="P130" s="72">
        <f>L130+M130</f>
        <v>133</v>
      </c>
      <c r="Q130" s="26">
        <f>AVERAGE(H130,J130,L130)/F130</f>
        <v>150.47619047619048</v>
      </c>
      <c r="R130" s="31">
        <f>Q130*H130</f>
        <v>14596.190476190477</v>
      </c>
      <c r="S130" s="24">
        <f>800/Q130</f>
        <v>5.3164556962025316</v>
      </c>
      <c r="T130" s="27"/>
      <c r="U130" s="26">
        <f>R130-(S130*Q130*3)</f>
        <v>12196.190476190477</v>
      </c>
      <c r="V130" s="26">
        <v>124</v>
      </c>
      <c r="W130" s="26"/>
    </row>
    <row r="131" spans="1:24" s="68" customFormat="1" x14ac:dyDescent="0.2">
      <c r="A131" s="75">
        <v>43208</v>
      </c>
      <c r="B131" s="75" t="s">
        <v>36</v>
      </c>
      <c r="C131" s="75" t="s">
        <v>312</v>
      </c>
      <c r="D131" s="76" t="s">
        <v>42</v>
      </c>
      <c r="E131" s="87" t="s">
        <v>52</v>
      </c>
      <c r="F131" s="81">
        <v>0.5</v>
      </c>
      <c r="G131" s="68">
        <v>700</v>
      </c>
      <c r="H131" s="68">
        <v>229</v>
      </c>
      <c r="I131" s="68">
        <v>0</v>
      </c>
      <c r="J131" s="68">
        <v>229</v>
      </c>
      <c r="K131" s="68">
        <v>0</v>
      </c>
      <c r="L131" s="68">
        <v>230</v>
      </c>
      <c r="M131" s="68">
        <v>0</v>
      </c>
      <c r="P131" s="68">
        <f>L131+M131</f>
        <v>230</v>
      </c>
      <c r="Q131" s="78">
        <f>AVERAGE(H131,J131,L131)/F131</f>
        <v>458.66666666666669</v>
      </c>
      <c r="R131" s="82">
        <f>Q131*G131</f>
        <v>321066.66666666669</v>
      </c>
      <c r="S131" s="77">
        <f>800/Q131</f>
        <v>1.7441860465116279</v>
      </c>
      <c r="T131" s="80"/>
      <c r="U131" s="78">
        <f>R131-(S131*Q131*3)</f>
        <v>318666.66666666669</v>
      </c>
      <c r="V131" s="78">
        <v>125</v>
      </c>
      <c r="W131" s="78"/>
      <c r="X131" s="83"/>
    </row>
    <row r="132" spans="1:24" s="68" customFormat="1" hidden="1" x14ac:dyDescent="0.2">
      <c r="A132" s="75">
        <v>43208</v>
      </c>
      <c r="B132" s="75" t="s">
        <v>60</v>
      </c>
      <c r="C132" s="75" t="s">
        <v>312</v>
      </c>
      <c r="D132" s="76" t="s">
        <v>66</v>
      </c>
      <c r="E132" s="87" t="s">
        <v>52</v>
      </c>
      <c r="F132" s="81">
        <v>0.5</v>
      </c>
      <c r="G132" s="68">
        <v>480</v>
      </c>
      <c r="H132" s="68">
        <v>35</v>
      </c>
      <c r="I132" s="68">
        <v>0</v>
      </c>
      <c r="J132" s="68">
        <v>40</v>
      </c>
      <c r="K132" s="68">
        <v>0</v>
      </c>
      <c r="L132" s="68">
        <v>28</v>
      </c>
      <c r="M132" s="68">
        <v>0</v>
      </c>
      <c r="P132" s="68">
        <f>L132+M132</f>
        <v>28</v>
      </c>
      <c r="Q132" s="78">
        <f>AVERAGE(H132,J132,L132)/F132</f>
        <v>68.666666666666671</v>
      </c>
      <c r="R132" s="82">
        <f>Q132*G132</f>
        <v>32960</v>
      </c>
      <c r="S132" s="77">
        <f>800/Q132</f>
        <v>11.650485436893202</v>
      </c>
      <c r="T132" s="80"/>
      <c r="U132" s="78">
        <f>R132-(S132*Q132*3)</f>
        <v>30560</v>
      </c>
      <c r="V132" s="78">
        <v>126</v>
      </c>
      <c r="W132" s="78"/>
      <c r="X132" s="83"/>
    </row>
    <row r="133" spans="1:24" s="68" customFormat="1" x14ac:dyDescent="0.2">
      <c r="A133" s="75">
        <v>43208</v>
      </c>
      <c r="B133" s="75" t="s">
        <v>37</v>
      </c>
      <c r="C133" s="75" t="s">
        <v>312</v>
      </c>
      <c r="D133" s="76" t="s">
        <v>39</v>
      </c>
      <c r="E133" s="87" t="s">
        <v>52</v>
      </c>
      <c r="F133" s="81">
        <v>0.5</v>
      </c>
      <c r="G133" s="68">
        <v>590</v>
      </c>
      <c r="H133" s="68">
        <v>45</v>
      </c>
      <c r="I133" s="68">
        <v>0</v>
      </c>
      <c r="J133" s="68">
        <v>35</v>
      </c>
      <c r="K133" s="68">
        <v>0</v>
      </c>
      <c r="L133" s="68">
        <v>55</v>
      </c>
      <c r="M133" s="68">
        <v>0</v>
      </c>
      <c r="P133" s="68">
        <f>L133+M133</f>
        <v>55</v>
      </c>
      <c r="Q133" s="78">
        <f>AVERAGE(H133,J133,L133)/F133</f>
        <v>90</v>
      </c>
      <c r="R133" s="82">
        <f>Q133*G133</f>
        <v>53100</v>
      </c>
      <c r="S133" s="77">
        <f>800/Q133</f>
        <v>8.8888888888888893</v>
      </c>
      <c r="T133" s="80"/>
      <c r="U133" s="78">
        <f>R133-(S133*Q133*3)</f>
        <v>50700</v>
      </c>
      <c r="V133" s="78">
        <v>127</v>
      </c>
      <c r="W133" s="78"/>
      <c r="X133" s="83"/>
    </row>
    <row r="134" spans="1:24" s="68" customFormat="1" x14ac:dyDescent="0.2">
      <c r="A134" s="75">
        <v>43208</v>
      </c>
      <c r="B134" s="75" t="s">
        <v>82</v>
      </c>
      <c r="C134" s="75" t="s">
        <v>311</v>
      </c>
      <c r="D134" s="76" t="s">
        <v>113</v>
      </c>
      <c r="E134" s="87" t="s">
        <v>52</v>
      </c>
      <c r="F134" s="81">
        <v>0.5</v>
      </c>
      <c r="G134" s="68">
        <v>550</v>
      </c>
      <c r="H134" s="68">
        <v>95</v>
      </c>
      <c r="I134" s="68">
        <v>0</v>
      </c>
      <c r="J134" s="68">
        <v>96</v>
      </c>
      <c r="K134" s="68">
        <v>0</v>
      </c>
      <c r="L134" s="68">
        <v>94</v>
      </c>
      <c r="M134" s="68">
        <v>0</v>
      </c>
      <c r="P134" s="68">
        <f>L134+M134</f>
        <v>94</v>
      </c>
      <c r="Q134" s="78">
        <f>AVERAGE(H134,J134,L134)/F134</f>
        <v>190</v>
      </c>
      <c r="R134" s="82">
        <f>Q134*G134</f>
        <v>104500</v>
      </c>
      <c r="S134" s="77">
        <f>800/Q134</f>
        <v>4.2105263157894735</v>
      </c>
      <c r="T134" s="80"/>
      <c r="U134" s="78">
        <f>R134-(S134*Q134*3)</f>
        <v>102100</v>
      </c>
      <c r="V134" s="78">
        <v>128</v>
      </c>
      <c r="W134" s="78"/>
      <c r="X134" s="83"/>
    </row>
    <row r="135" spans="1:24" s="68" customFormat="1" x14ac:dyDescent="0.2">
      <c r="A135" s="75">
        <v>43208</v>
      </c>
      <c r="B135" s="75" t="s">
        <v>58</v>
      </c>
      <c r="C135" s="75" t="s">
        <v>312</v>
      </c>
      <c r="D135" s="76" t="s">
        <v>59</v>
      </c>
      <c r="E135" s="87" t="s">
        <v>52</v>
      </c>
      <c r="F135" s="81">
        <v>0.5</v>
      </c>
      <c r="G135" s="68">
        <v>725</v>
      </c>
      <c r="H135" s="68">
        <v>104</v>
      </c>
      <c r="I135" s="68">
        <v>0</v>
      </c>
      <c r="J135" s="68">
        <v>120</v>
      </c>
      <c r="K135" s="68">
        <v>0</v>
      </c>
      <c r="L135" s="68">
        <v>100</v>
      </c>
      <c r="M135" s="68">
        <v>0</v>
      </c>
      <c r="P135" s="68">
        <f>L135+M135</f>
        <v>100</v>
      </c>
      <c r="Q135" s="78">
        <f>AVERAGE(H135,J135,L135)/F135</f>
        <v>216</v>
      </c>
      <c r="R135" s="82">
        <f>Q135*G135</f>
        <v>156600</v>
      </c>
      <c r="S135" s="77">
        <f>800/Q135</f>
        <v>3.7037037037037037</v>
      </c>
      <c r="T135" s="80"/>
      <c r="U135" s="78">
        <f>R135-(S135*Q135*3)</f>
        <v>154200</v>
      </c>
      <c r="V135" s="78">
        <v>129</v>
      </c>
      <c r="W135" s="78"/>
      <c r="X135" s="83"/>
    </row>
    <row r="136" spans="1:24" s="68" customFormat="1" hidden="1" x14ac:dyDescent="0.2">
      <c r="A136" s="75">
        <v>43208</v>
      </c>
      <c r="B136" s="75" t="s">
        <v>58</v>
      </c>
      <c r="C136" s="75" t="s">
        <v>311</v>
      </c>
      <c r="D136" s="76" t="s">
        <v>69</v>
      </c>
      <c r="E136" s="87" t="s">
        <v>52</v>
      </c>
      <c r="F136" s="81">
        <v>0.5</v>
      </c>
      <c r="G136" s="68">
        <v>600</v>
      </c>
      <c r="H136" s="68">
        <v>11</v>
      </c>
      <c r="I136" s="68">
        <v>0</v>
      </c>
      <c r="J136" s="68">
        <v>14</v>
      </c>
      <c r="K136" s="68">
        <v>0</v>
      </c>
      <c r="L136" s="68">
        <v>22</v>
      </c>
      <c r="M136" s="68">
        <v>0</v>
      </c>
      <c r="P136" s="68">
        <f>L136+M136</f>
        <v>22</v>
      </c>
      <c r="Q136" s="78">
        <f>AVERAGE(H136,J136,L136)/F136</f>
        <v>31.333333333333332</v>
      </c>
      <c r="R136" s="82">
        <f>Q136*G136</f>
        <v>18800</v>
      </c>
      <c r="S136" s="77">
        <f>800/Q136</f>
        <v>25.531914893617021</v>
      </c>
      <c r="T136" s="80"/>
      <c r="U136" s="78">
        <f>R136-(S136*Q136*3)</f>
        <v>16400</v>
      </c>
      <c r="V136" s="78">
        <v>130</v>
      </c>
      <c r="W136" s="78"/>
      <c r="X136" s="83"/>
    </row>
    <row r="137" spans="1:24" x14ac:dyDescent="0.2">
      <c r="A137" s="22">
        <v>43209</v>
      </c>
      <c r="B137" s="22" t="s">
        <v>58</v>
      </c>
      <c r="C137" s="22" t="s">
        <v>311</v>
      </c>
      <c r="D137" s="40" t="s">
        <v>69</v>
      </c>
      <c r="E137" s="34" t="s">
        <v>52</v>
      </c>
      <c r="F137" s="30">
        <v>0.25</v>
      </c>
      <c r="G137" s="29">
        <v>730</v>
      </c>
      <c r="H137" s="29">
        <v>118</v>
      </c>
      <c r="I137" s="29">
        <v>0</v>
      </c>
      <c r="J137" s="29">
        <v>96</v>
      </c>
      <c r="K137" s="29">
        <v>0</v>
      </c>
      <c r="L137" s="29">
        <v>106</v>
      </c>
      <c r="M137" s="29">
        <v>0</v>
      </c>
      <c r="Q137" s="26">
        <f>AVERAGE(H137,J137,L137)/F137</f>
        <v>426.66666666666669</v>
      </c>
      <c r="R137" s="31">
        <f>Q137*G137</f>
        <v>311466.66666666669</v>
      </c>
      <c r="S137" s="24">
        <f>800/Q137</f>
        <v>1.875</v>
      </c>
      <c r="T137" s="27"/>
      <c r="U137" s="26">
        <f>R137-(S137*Q137*3)</f>
        <v>309066.66666666669</v>
      </c>
      <c r="V137" s="26">
        <v>131</v>
      </c>
      <c r="W137" s="26"/>
    </row>
    <row r="138" spans="1:24" x14ac:dyDescent="0.2">
      <c r="A138" s="22">
        <v>43209</v>
      </c>
      <c r="B138" s="22" t="s">
        <v>29</v>
      </c>
      <c r="C138" s="22" t="s">
        <v>311</v>
      </c>
      <c r="D138" s="40" t="s">
        <v>61</v>
      </c>
      <c r="E138" s="34" t="s">
        <v>52</v>
      </c>
      <c r="F138" s="30">
        <v>0.25</v>
      </c>
      <c r="G138" s="29">
        <v>350</v>
      </c>
      <c r="H138" s="29">
        <v>75</v>
      </c>
      <c r="I138" s="29">
        <v>0</v>
      </c>
      <c r="J138" s="29">
        <v>81</v>
      </c>
      <c r="K138" s="29">
        <v>0</v>
      </c>
      <c r="L138" s="29">
        <v>59</v>
      </c>
      <c r="M138" s="29">
        <v>0</v>
      </c>
      <c r="Q138" s="26">
        <f>AVERAGE(H138,J138,L138)/F138</f>
        <v>286.66666666666669</v>
      </c>
      <c r="R138" s="31">
        <f>Q138*G138</f>
        <v>100333.33333333334</v>
      </c>
      <c r="S138" s="24">
        <f>800/Q138</f>
        <v>2.7906976744186043</v>
      </c>
      <c r="T138" s="27"/>
      <c r="U138" s="26">
        <f>R138-(S138*Q138*3)</f>
        <v>97933.333333333343</v>
      </c>
      <c r="V138" s="26">
        <v>132</v>
      </c>
      <c r="W138" s="26"/>
    </row>
    <row r="139" spans="1:24" x14ac:dyDescent="0.2">
      <c r="A139" s="22">
        <v>43209</v>
      </c>
      <c r="B139" s="22" t="s">
        <v>82</v>
      </c>
      <c r="C139" s="22" t="s">
        <v>312</v>
      </c>
      <c r="D139" s="40" t="s">
        <v>94</v>
      </c>
      <c r="E139" s="34" t="s">
        <v>52</v>
      </c>
      <c r="F139" s="30">
        <v>0.25</v>
      </c>
      <c r="G139" s="29">
        <v>350</v>
      </c>
      <c r="H139" s="29">
        <v>51</v>
      </c>
      <c r="I139" s="29">
        <v>0</v>
      </c>
      <c r="J139" s="29">
        <v>47</v>
      </c>
      <c r="K139" s="29">
        <v>0</v>
      </c>
      <c r="L139" s="29">
        <v>60</v>
      </c>
      <c r="M139" s="29">
        <v>0</v>
      </c>
      <c r="Q139" s="26">
        <f>AVERAGE(H139,J139,L139)/F139</f>
        <v>210.66666666666666</v>
      </c>
      <c r="R139" s="31">
        <f>Q139*G139</f>
        <v>73733.333333333328</v>
      </c>
      <c r="S139" s="24">
        <f>800/Q139</f>
        <v>3.79746835443038</v>
      </c>
      <c r="T139" s="27"/>
      <c r="U139" s="26">
        <f>R139-(S139*Q139*3)</f>
        <v>71333.333333333328</v>
      </c>
      <c r="V139" s="26">
        <v>133</v>
      </c>
      <c r="W139" s="26"/>
    </row>
    <row r="140" spans="1:24" s="144" customFormat="1" ht="17" thickBot="1" x14ac:dyDescent="0.25">
      <c r="A140" s="141">
        <v>43209</v>
      </c>
      <c r="B140" s="141" t="s">
        <v>83</v>
      </c>
      <c r="C140" s="141" t="s">
        <v>311</v>
      </c>
      <c r="D140" s="142" t="s">
        <v>96</v>
      </c>
      <c r="E140" s="141" t="s">
        <v>168</v>
      </c>
      <c r="F140" s="143">
        <v>0.2</v>
      </c>
      <c r="G140" s="144">
        <v>830</v>
      </c>
      <c r="H140" s="144">
        <v>98</v>
      </c>
      <c r="I140" s="144">
        <v>0</v>
      </c>
      <c r="J140" s="144">
        <v>106</v>
      </c>
      <c r="K140" s="144">
        <v>0</v>
      </c>
      <c r="L140" s="144">
        <v>116</v>
      </c>
      <c r="M140" s="144">
        <v>0</v>
      </c>
      <c r="N140" s="145"/>
      <c r="O140" s="145"/>
      <c r="P140" s="145"/>
      <c r="Q140" s="146">
        <f>AVERAGE(H140,J140,L140)/F140</f>
        <v>533.33333333333337</v>
      </c>
      <c r="R140" s="146">
        <f>Q140*G140</f>
        <v>442666.66666666669</v>
      </c>
      <c r="S140" s="143">
        <f>800/Q140</f>
        <v>1.5</v>
      </c>
      <c r="T140" s="147"/>
      <c r="U140" s="146">
        <f>R140-(S140*Q140*3)</f>
        <v>440266.66666666669</v>
      </c>
      <c r="V140" s="146">
        <v>134</v>
      </c>
      <c r="W140" s="146"/>
      <c r="X140" s="148"/>
    </row>
    <row r="141" spans="1:24" s="68" customFormat="1" x14ac:dyDescent="0.2">
      <c r="A141" s="75">
        <v>43210</v>
      </c>
      <c r="B141" s="75" t="s">
        <v>37</v>
      </c>
      <c r="C141" s="75" t="s">
        <v>312</v>
      </c>
      <c r="D141" s="76" t="s">
        <v>39</v>
      </c>
      <c r="E141" s="87" t="s">
        <v>52</v>
      </c>
      <c r="F141" s="81">
        <v>0.4</v>
      </c>
      <c r="G141" s="68">
        <v>630</v>
      </c>
      <c r="H141" s="68">
        <v>106</v>
      </c>
      <c r="I141" s="68">
        <v>0</v>
      </c>
      <c r="J141" s="68">
        <v>111</v>
      </c>
      <c r="K141" s="68">
        <v>0</v>
      </c>
      <c r="L141" s="68">
        <v>108</v>
      </c>
      <c r="M141" s="68">
        <v>0</v>
      </c>
      <c r="Q141" s="78">
        <f>AVERAGE(H141,J141,L141)/F141</f>
        <v>270.83333333333331</v>
      </c>
      <c r="R141" s="82">
        <f>Q141*G141</f>
        <v>170625</v>
      </c>
      <c r="S141" s="77">
        <f>800/Q141</f>
        <v>2.953846153846154</v>
      </c>
      <c r="T141" s="80"/>
      <c r="U141" s="78">
        <f>R141-(S141*Q141*3)</f>
        <v>168225</v>
      </c>
      <c r="V141" s="78">
        <v>135</v>
      </c>
      <c r="W141" s="78"/>
      <c r="X141" s="83"/>
    </row>
    <row r="142" spans="1:24" s="68" customFormat="1" x14ac:dyDescent="0.2">
      <c r="A142" s="75">
        <v>43210</v>
      </c>
      <c r="B142" s="75" t="s">
        <v>36</v>
      </c>
      <c r="C142" s="75" t="s">
        <v>311</v>
      </c>
      <c r="D142" s="76" t="s">
        <v>38</v>
      </c>
      <c r="E142" s="87" t="s">
        <v>52</v>
      </c>
      <c r="F142" s="81">
        <v>0.4</v>
      </c>
      <c r="G142" s="68">
        <v>550</v>
      </c>
      <c r="H142" s="68">
        <v>77</v>
      </c>
      <c r="I142" s="68">
        <v>0</v>
      </c>
      <c r="J142" s="68">
        <v>90</v>
      </c>
      <c r="K142" s="68">
        <v>0</v>
      </c>
      <c r="L142" s="68">
        <v>97</v>
      </c>
      <c r="M142" s="68">
        <v>1</v>
      </c>
      <c r="Q142" s="78">
        <f>AVERAGE(H142,J142,L142)/F142</f>
        <v>220</v>
      </c>
      <c r="R142" s="82">
        <f>Q142*G142</f>
        <v>121000</v>
      </c>
      <c r="S142" s="77">
        <f>800/Q142</f>
        <v>3.6363636363636362</v>
      </c>
      <c r="T142" s="80"/>
      <c r="U142" s="78">
        <f>R142-(S142*Q142*3)</f>
        <v>118600</v>
      </c>
      <c r="V142" s="78">
        <v>136</v>
      </c>
      <c r="W142" s="78"/>
      <c r="X142" s="83"/>
    </row>
    <row r="143" spans="1:24" s="68" customFormat="1" x14ac:dyDescent="0.2">
      <c r="A143" s="75">
        <v>43210</v>
      </c>
      <c r="B143" s="75" t="s">
        <v>83</v>
      </c>
      <c r="C143" s="75" t="s">
        <v>312</v>
      </c>
      <c r="D143" s="76" t="s">
        <v>95</v>
      </c>
      <c r="E143" s="87" t="s">
        <v>52</v>
      </c>
      <c r="F143" s="81">
        <v>0.2</v>
      </c>
      <c r="G143" s="68">
        <v>750</v>
      </c>
      <c r="H143" s="68">
        <v>127</v>
      </c>
      <c r="I143" s="68">
        <v>1</v>
      </c>
      <c r="J143" s="68">
        <v>139</v>
      </c>
      <c r="K143" s="68">
        <v>2</v>
      </c>
      <c r="L143" s="68">
        <v>107</v>
      </c>
      <c r="M143" s="68">
        <v>3</v>
      </c>
      <c r="Q143" s="78">
        <f>AVERAGE(H143,J143,L143)/F143</f>
        <v>621.66666666666663</v>
      </c>
      <c r="R143" s="82">
        <f>Q143*G143</f>
        <v>466250</v>
      </c>
      <c r="S143" s="77">
        <f>800/Q143</f>
        <v>1.2868632707774799</v>
      </c>
      <c r="T143" s="80"/>
      <c r="U143" s="78">
        <f>R143-(S143*Q143*3)</f>
        <v>463850</v>
      </c>
      <c r="V143" s="78">
        <v>137</v>
      </c>
      <c r="W143" s="78"/>
      <c r="X143" s="83"/>
    </row>
    <row r="144" spans="1:24" s="68" customFormat="1" x14ac:dyDescent="0.2">
      <c r="A144" s="75">
        <v>43210</v>
      </c>
      <c r="B144" s="75" t="s">
        <v>58</v>
      </c>
      <c r="C144" s="75" t="s">
        <v>311</v>
      </c>
      <c r="D144" s="76" t="s">
        <v>69</v>
      </c>
      <c r="E144" s="87" t="s">
        <v>52</v>
      </c>
      <c r="F144" s="81">
        <v>0.25</v>
      </c>
      <c r="G144" s="68">
        <v>945</v>
      </c>
      <c r="H144" s="68">
        <v>137</v>
      </c>
      <c r="I144" s="68">
        <v>1</v>
      </c>
      <c r="J144" s="68">
        <v>155</v>
      </c>
      <c r="K144" s="68">
        <v>0</v>
      </c>
      <c r="L144" s="68">
        <v>138</v>
      </c>
      <c r="M144" s="68">
        <v>0</v>
      </c>
      <c r="Q144" s="78">
        <f>AVERAGE(H144,J144,L144)/F144</f>
        <v>573.33333333333337</v>
      </c>
      <c r="R144" s="82">
        <f>Q144*G144</f>
        <v>541800</v>
      </c>
      <c r="S144" s="77">
        <f>800/Q144</f>
        <v>1.3953488372093021</v>
      </c>
      <c r="T144" s="76"/>
      <c r="U144" s="78">
        <f>R144-(S144*Q144*3)</f>
        <v>539400</v>
      </c>
      <c r="V144" s="78">
        <v>138</v>
      </c>
      <c r="W144" s="78"/>
      <c r="X144" s="83"/>
    </row>
    <row r="145" spans="1:24" s="68" customFormat="1" hidden="1" x14ac:dyDescent="0.2">
      <c r="A145" s="75">
        <v>43210</v>
      </c>
      <c r="B145" s="87" t="s">
        <v>29</v>
      </c>
      <c r="C145" s="87" t="s">
        <v>311</v>
      </c>
      <c r="D145" s="88" t="s">
        <v>61</v>
      </c>
      <c r="E145" s="87" t="s">
        <v>52</v>
      </c>
      <c r="F145" s="81">
        <v>0.6</v>
      </c>
      <c r="G145" s="68">
        <v>460</v>
      </c>
      <c r="H145" s="68">
        <v>39</v>
      </c>
      <c r="I145" s="68">
        <v>0</v>
      </c>
      <c r="J145" s="68">
        <v>49</v>
      </c>
      <c r="K145" s="68">
        <v>0</v>
      </c>
      <c r="L145" s="68">
        <v>51</v>
      </c>
      <c r="M145" s="68">
        <v>0</v>
      </c>
      <c r="Q145" s="82">
        <f>AVERAGE(H145,J145,L145)/F145</f>
        <v>77.222222222222229</v>
      </c>
      <c r="R145" s="82">
        <f>Q145*G145</f>
        <v>35522.222222222226</v>
      </c>
      <c r="S145" s="81">
        <f>800/Q145</f>
        <v>10.359712230215827</v>
      </c>
      <c r="U145" s="82">
        <f>R145-(S145*Q145*3)</f>
        <v>33122.222222222226</v>
      </c>
      <c r="V145" s="82">
        <v>139</v>
      </c>
      <c r="W145" s="82"/>
      <c r="X145" s="83"/>
    </row>
    <row r="146" spans="1:24" s="68" customFormat="1" x14ac:dyDescent="0.2">
      <c r="A146" s="75">
        <v>43210</v>
      </c>
      <c r="B146" s="87" t="s">
        <v>29</v>
      </c>
      <c r="C146" s="87" t="s">
        <v>312</v>
      </c>
      <c r="D146" s="88" t="s">
        <v>119</v>
      </c>
      <c r="E146" s="87" t="s">
        <v>52</v>
      </c>
      <c r="F146" s="81">
        <v>0.2</v>
      </c>
      <c r="G146" s="68">
        <v>895</v>
      </c>
      <c r="H146" s="68">
        <v>95</v>
      </c>
      <c r="I146" s="68">
        <v>0</v>
      </c>
      <c r="J146" s="68">
        <v>97</v>
      </c>
      <c r="K146" s="68">
        <v>0</v>
      </c>
      <c r="L146" s="68">
        <v>93</v>
      </c>
      <c r="M146" s="68">
        <v>0</v>
      </c>
      <c r="Q146" s="82">
        <f>AVERAGE(H146,J146,L146)/F146</f>
        <v>475</v>
      </c>
      <c r="R146" s="82">
        <f>Q146*G146</f>
        <v>425125</v>
      </c>
      <c r="S146" s="81">
        <f>800/Q146</f>
        <v>1.6842105263157894</v>
      </c>
      <c r="U146" s="82">
        <f>R146-(S146*Q146*3)</f>
        <v>422725</v>
      </c>
      <c r="V146" s="82">
        <v>140</v>
      </c>
      <c r="W146" s="82"/>
      <c r="X146" s="83"/>
    </row>
    <row r="147" spans="1:24" x14ac:dyDescent="0.2">
      <c r="A147" s="34">
        <v>43211</v>
      </c>
      <c r="B147" s="34" t="s">
        <v>36</v>
      </c>
      <c r="C147" s="34" t="s">
        <v>312</v>
      </c>
      <c r="D147" s="45" t="s">
        <v>42</v>
      </c>
      <c r="E147" s="34" t="s">
        <v>52</v>
      </c>
      <c r="F147" s="30">
        <v>0.3</v>
      </c>
      <c r="G147" s="29">
        <v>800</v>
      </c>
      <c r="H147" s="29">
        <v>99</v>
      </c>
      <c r="I147" s="29">
        <v>3</v>
      </c>
      <c r="J147" s="29">
        <v>99</v>
      </c>
      <c r="K147" s="29">
        <v>1</v>
      </c>
      <c r="L147" s="29">
        <v>95</v>
      </c>
      <c r="M147" s="29">
        <v>0</v>
      </c>
      <c r="Q147" s="31">
        <f>AVERAGE(H147,J147,L147)/F147</f>
        <v>325.5555555555556</v>
      </c>
      <c r="R147" s="31">
        <f>Q147*G147</f>
        <v>260444.44444444447</v>
      </c>
      <c r="S147" s="30">
        <f>800/Q147</f>
        <v>2.4573378839590441</v>
      </c>
      <c r="U147" s="31">
        <f>R147-(S147*Q147*3)</f>
        <v>258044.44444444447</v>
      </c>
      <c r="V147" s="31">
        <v>141</v>
      </c>
    </row>
    <row r="148" spans="1:24" x14ac:dyDescent="0.2">
      <c r="A148" s="34">
        <v>43211</v>
      </c>
      <c r="B148" s="34" t="s">
        <v>37</v>
      </c>
      <c r="C148" s="34" t="s">
        <v>312</v>
      </c>
      <c r="D148" s="45" t="s">
        <v>39</v>
      </c>
      <c r="E148" s="34" t="s">
        <v>52</v>
      </c>
      <c r="F148" s="30">
        <v>0.15</v>
      </c>
      <c r="G148" s="29">
        <v>975</v>
      </c>
      <c r="H148" s="29">
        <v>157</v>
      </c>
      <c r="I148" s="29">
        <v>0</v>
      </c>
      <c r="J148" s="29">
        <v>166</v>
      </c>
      <c r="K148" s="29">
        <v>0</v>
      </c>
      <c r="L148" s="29">
        <v>147</v>
      </c>
      <c r="M148" s="29">
        <v>0</v>
      </c>
      <c r="Q148" s="31">
        <f>AVERAGE(H148,J148,L148)/F148</f>
        <v>1044.4444444444443</v>
      </c>
      <c r="R148" s="31">
        <f>Q148*G148</f>
        <v>1018333.3333333333</v>
      </c>
      <c r="S148" s="30">
        <f>800/Q148</f>
        <v>0.76595744680851074</v>
      </c>
      <c r="U148" s="31">
        <f>R148-(S148*Q148*3)</f>
        <v>1015933.3333333333</v>
      </c>
      <c r="V148" s="31">
        <v>142</v>
      </c>
    </row>
    <row r="149" spans="1:24" s="68" customFormat="1" x14ac:dyDescent="0.2">
      <c r="A149" s="87">
        <v>43212</v>
      </c>
      <c r="B149" s="87" t="s">
        <v>29</v>
      </c>
      <c r="C149" s="87" t="s">
        <v>311</v>
      </c>
      <c r="D149" s="88" t="s">
        <v>61</v>
      </c>
      <c r="E149" s="87" t="s">
        <v>52</v>
      </c>
      <c r="F149" s="81">
        <v>0.3</v>
      </c>
      <c r="G149" s="68">
        <v>820</v>
      </c>
      <c r="H149" s="68">
        <v>102</v>
      </c>
      <c r="I149" s="68">
        <v>0</v>
      </c>
      <c r="J149" s="68">
        <v>106</v>
      </c>
      <c r="K149" s="68">
        <v>0</v>
      </c>
      <c r="L149" s="68">
        <v>99</v>
      </c>
      <c r="M149" s="68">
        <v>0</v>
      </c>
      <c r="Q149" s="82">
        <f>AVERAGE(H149,J149,L149)/F149</f>
        <v>341.11111111111109</v>
      </c>
      <c r="R149" s="82">
        <f>Q149*G149</f>
        <v>279711.11111111107</v>
      </c>
      <c r="S149" s="81">
        <f>800/Q149</f>
        <v>2.3452768729641695</v>
      </c>
      <c r="U149" s="82">
        <f>R149-(S149*Q149*3)</f>
        <v>277311.11111111107</v>
      </c>
      <c r="V149" s="82">
        <v>143</v>
      </c>
      <c r="W149" s="82"/>
      <c r="X149" s="83"/>
    </row>
    <row r="150" spans="1:24" s="68" customFormat="1" x14ac:dyDescent="0.2">
      <c r="A150" s="87">
        <v>43212</v>
      </c>
      <c r="B150" s="87" t="s">
        <v>58</v>
      </c>
      <c r="C150" s="87" t="s">
        <v>311</v>
      </c>
      <c r="D150" s="88" t="s">
        <v>69</v>
      </c>
      <c r="E150" s="87" t="s">
        <v>52</v>
      </c>
      <c r="F150" s="81">
        <v>0.2</v>
      </c>
      <c r="G150" s="68">
        <v>960</v>
      </c>
      <c r="H150" s="68">
        <v>146</v>
      </c>
      <c r="I150" s="68" t="s">
        <v>183</v>
      </c>
      <c r="J150" s="68">
        <v>123</v>
      </c>
      <c r="K150" s="68">
        <v>0</v>
      </c>
      <c r="L150" s="68">
        <v>134</v>
      </c>
      <c r="M150" s="68">
        <v>0</v>
      </c>
      <c r="Q150" s="82">
        <f>AVERAGE(H150,J150,L150)/F150</f>
        <v>671.66666666666663</v>
      </c>
      <c r="R150" s="82">
        <f>Q150*G150</f>
        <v>644800</v>
      </c>
      <c r="S150" s="81">
        <f>800/Q150</f>
        <v>1.1910669975186106</v>
      </c>
      <c r="U150" s="82">
        <f>R150-(S150*Q150*3)</f>
        <v>642400</v>
      </c>
      <c r="V150" s="82">
        <v>144</v>
      </c>
      <c r="W150" s="82"/>
      <c r="X150" s="83"/>
    </row>
    <row r="151" spans="1:24" s="68" customFormat="1" x14ac:dyDescent="0.2">
      <c r="A151" s="87">
        <v>43212</v>
      </c>
      <c r="B151" s="87" t="s">
        <v>37</v>
      </c>
      <c r="C151" s="87" t="s">
        <v>311</v>
      </c>
      <c r="D151" s="88" t="s">
        <v>67</v>
      </c>
      <c r="E151" s="87" t="s">
        <v>52</v>
      </c>
      <c r="F151" s="81">
        <v>0.3</v>
      </c>
      <c r="G151" s="68">
        <v>840</v>
      </c>
      <c r="H151" s="68">
        <v>88</v>
      </c>
      <c r="I151" s="68">
        <v>0</v>
      </c>
      <c r="J151" s="68">
        <v>58</v>
      </c>
      <c r="K151" s="68">
        <v>0</v>
      </c>
      <c r="L151" s="68">
        <v>82</v>
      </c>
      <c r="M151" s="68">
        <v>0</v>
      </c>
      <c r="Q151" s="82">
        <f>AVERAGE(H151,J151,L151)/F151</f>
        <v>253.33333333333334</v>
      </c>
      <c r="R151" s="82">
        <f>Q151*G151</f>
        <v>212800</v>
      </c>
      <c r="S151" s="81">
        <f>800/Q151</f>
        <v>3.1578947368421053</v>
      </c>
      <c r="U151" s="82">
        <f>R151-(S151*Q151*3)</f>
        <v>210400</v>
      </c>
      <c r="V151" s="82">
        <v>145</v>
      </c>
      <c r="W151" s="82"/>
      <c r="X151" s="83"/>
    </row>
    <row r="152" spans="1:24" s="68" customFormat="1" x14ac:dyDescent="0.2">
      <c r="A152" s="87">
        <v>43212</v>
      </c>
      <c r="B152" s="87" t="s">
        <v>36</v>
      </c>
      <c r="C152" s="87" t="s">
        <v>312</v>
      </c>
      <c r="D152" s="88" t="s">
        <v>42</v>
      </c>
      <c r="E152" s="87" t="s">
        <v>52</v>
      </c>
      <c r="F152" s="81">
        <v>0.4</v>
      </c>
      <c r="G152" s="68">
        <v>550</v>
      </c>
      <c r="H152" s="68">
        <v>42</v>
      </c>
      <c r="I152" s="68">
        <v>0</v>
      </c>
      <c r="J152" s="68">
        <v>38</v>
      </c>
      <c r="K152" s="68">
        <v>0</v>
      </c>
      <c r="L152" s="68">
        <v>47</v>
      </c>
      <c r="M152" s="68">
        <v>0</v>
      </c>
      <c r="Q152" s="82">
        <f>AVERAGE(H152,J152,L152)/F152</f>
        <v>105.83333333333333</v>
      </c>
      <c r="R152" s="82">
        <f>Q152*G152</f>
        <v>58208.333333333328</v>
      </c>
      <c r="S152" s="81">
        <f>800/Q152</f>
        <v>7.5590551181102361</v>
      </c>
      <c r="U152" s="82">
        <f>R152-(S152*Q152*3)</f>
        <v>55808.333333333328</v>
      </c>
      <c r="V152" s="82">
        <v>146</v>
      </c>
      <c r="W152" s="82"/>
      <c r="X152" s="83"/>
    </row>
    <row r="153" spans="1:24" s="68" customFormat="1" x14ac:dyDescent="0.2">
      <c r="A153" s="87">
        <v>43212</v>
      </c>
      <c r="B153" s="87" t="s">
        <v>58</v>
      </c>
      <c r="C153" s="87" t="s">
        <v>311</v>
      </c>
      <c r="D153" s="88" t="s">
        <v>65</v>
      </c>
      <c r="E153" s="87" t="s">
        <v>52</v>
      </c>
      <c r="F153" s="81">
        <v>0.3</v>
      </c>
      <c r="G153" s="68">
        <v>730</v>
      </c>
      <c r="H153" s="68">
        <v>126</v>
      </c>
      <c r="I153" s="68">
        <v>0</v>
      </c>
      <c r="J153" s="68">
        <v>114</v>
      </c>
      <c r="K153" s="68">
        <v>0</v>
      </c>
      <c r="L153" s="68">
        <v>119</v>
      </c>
      <c r="M153" s="68">
        <v>0</v>
      </c>
      <c r="Q153" s="82">
        <f>AVERAGE(H153,J153,L153)/F153</f>
        <v>398.88888888888891</v>
      </c>
      <c r="R153" s="82">
        <f>Q153*G153</f>
        <v>291188.88888888893</v>
      </c>
      <c r="S153" s="81">
        <f>800/Q153</f>
        <v>2.0055710306406684</v>
      </c>
      <c r="U153" s="82">
        <f>R153-(S153*Q153*3)</f>
        <v>288788.88888888893</v>
      </c>
      <c r="V153" s="82">
        <v>147</v>
      </c>
      <c r="W153" s="82"/>
      <c r="X153" s="83"/>
    </row>
    <row r="154" spans="1:24" x14ac:dyDescent="0.2">
      <c r="A154" s="34">
        <v>43214</v>
      </c>
      <c r="B154" s="34" t="s">
        <v>29</v>
      </c>
      <c r="C154" s="34" t="s">
        <v>311</v>
      </c>
      <c r="D154" s="45" t="s">
        <v>61</v>
      </c>
      <c r="E154" s="34" t="s">
        <v>52</v>
      </c>
      <c r="F154" s="30">
        <v>0.3</v>
      </c>
      <c r="G154" s="29">
        <v>770</v>
      </c>
      <c r="H154" s="29">
        <v>121</v>
      </c>
      <c r="I154" s="29">
        <v>0</v>
      </c>
      <c r="J154" s="29">
        <v>122</v>
      </c>
      <c r="K154" s="29">
        <v>0</v>
      </c>
      <c r="L154" s="29">
        <v>114</v>
      </c>
      <c r="M154" s="29">
        <v>0</v>
      </c>
      <c r="N154" s="29"/>
      <c r="O154" s="29"/>
      <c r="P154" s="29"/>
      <c r="Q154" s="31">
        <f>AVERAGE(H154,J154,L154)/F154</f>
        <v>396.66666666666669</v>
      </c>
      <c r="R154" s="31">
        <f>Q154*G154</f>
        <v>305433.33333333337</v>
      </c>
      <c r="S154" s="30">
        <f>800/Q154</f>
        <v>2.0168067226890756</v>
      </c>
      <c r="U154" s="31">
        <f>R154-(S154*Q154*3)</f>
        <v>303033.33333333337</v>
      </c>
      <c r="V154" s="31">
        <v>148</v>
      </c>
    </row>
    <row r="155" spans="1:24" s="68" customFormat="1" x14ac:dyDescent="0.2">
      <c r="A155" s="87">
        <v>43215</v>
      </c>
      <c r="B155" s="87" t="s">
        <v>29</v>
      </c>
      <c r="C155" s="87" t="s">
        <v>311</v>
      </c>
      <c r="D155" s="88" t="s">
        <v>61</v>
      </c>
      <c r="E155" s="87" t="s">
        <v>52</v>
      </c>
      <c r="F155" s="81">
        <v>0.2</v>
      </c>
      <c r="G155" s="68">
        <v>940</v>
      </c>
      <c r="H155" s="68">
        <v>190</v>
      </c>
      <c r="I155" s="68">
        <v>2</v>
      </c>
      <c r="J155" s="68">
        <v>197</v>
      </c>
      <c r="K155" s="68">
        <v>1</v>
      </c>
      <c r="L155" s="68">
        <v>197</v>
      </c>
      <c r="M155" s="68">
        <v>0</v>
      </c>
      <c r="Q155" s="82">
        <f>AVERAGE(H155,J155,L155)/F155</f>
        <v>973.33333333333326</v>
      </c>
      <c r="R155" s="82">
        <f>Q155*G155</f>
        <v>914933.33333333326</v>
      </c>
      <c r="S155" s="81">
        <f>800/Q155</f>
        <v>0.82191780821917815</v>
      </c>
      <c r="U155" s="82">
        <f>R155-(S155*Q155*3)</f>
        <v>912533.33333333326</v>
      </c>
      <c r="V155" s="82">
        <v>149</v>
      </c>
      <c r="W155" s="82"/>
      <c r="X155" s="83"/>
    </row>
    <row r="156" spans="1:24" s="68" customFormat="1" x14ac:dyDescent="0.2">
      <c r="A156" s="87">
        <v>43215</v>
      </c>
      <c r="B156" s="87" t="s">
        <v>28</v>
      </c>
      <c r="C156" s="87" t="s">
        <v>312</v>
      </c>
      <c r="D156" s="88" t="s">
        <v>68</v>
      </c>
      <c r="E156" s="87" t="s">
        <v>52</v>
      </c>
      <c r="F156" s="81">
        <v>0.25</v>
      </c>
      <c r="G156" s="68">
        <v>875</v>
      </c>
      <c r="H156" s="68">
        <v>134</v>
      </c>
      <c r="I156" s="68">
        <v>2</v>
      </c>
      <c r="J156" s="68">
        <v>136</v>
      </c>
      <c r="K156" s="68">
        <v>3</v>
      </c>
      <c r="L156" s="68">
        <v>136</v>
      </c>
      <c r="M156" s="68">
        <v>2</v>
      </c>
      <c r="Q156" s="82">
        <f>AVERAGE(H156,J156,L156)/F156</f>
        <v>541.33333333333337</v>
      </c>
      <c r="R156" s="82">
        <f>Q156*G156</f>
        <v>473666.66666666669</v>
      </c>
      <c r="S156" s="81">
        <f>800/Q156</f>
        <v>1.4778325123152709</v>
      </c>
      <c r="U156" s="82">
        <f>R156-(S156*Q156*3)</f>
        <v>471266.66666666669</v>
      </c>
      <c r="V156" s="82">
        <v>150</v>
      </c>
      <c r="W156" s="82"/>
      <c r="X156" s="83"/>
    </row>
    <row r="157" spans="1:24" s="68" customFormat="1" x14ac:dyDescent="0.2">
      <c r="A157" s="87">
        <v>43215</v>
      </c>
      <c r="B157" s="87" t="s">
        <v>37</v>
      </c>
      <c r="C157" s="87" t="s">
        <v>312</v>
      </c>
      <c r="D157" s="88" t="s">
        <v>39</v>
      </c>
      <c r="E157" s="87" t="s">
        <v>52</v>
      </c>
      <c r="F157" s="81">
        <v>0.3</v>
      </c>
      <c r="G157" s="68">
        <v>700</v>
      </c>
      <c r="H157" s="68">
        <v>110</v>
      </c>
      <c r="I157" s="68">
        <v>0</v>
      </c>
      <c r="J157" s="68">
        <v>130</v>
      </c>
      <c r="K157" s="68">
        <v>2</v>
      </c>
      <c r="L157" s="68">
        <v>125</v>
      </c>
      <c r="M157" s="68">
        <v>0</v>
      </c>
      <c r="Q157" s="82">
        <f>AVERAGE(H157,J157,L157)/F157</f>
        <v>405.5555555555556</v>
      </c>
      <c r="R157" s="82">
        <f>Q157*G157</f>
        <v>283888.88888888893</v>
      </c>
      <c r="S157" s="81">
        <f>800/Q157</f>
        <v>1.9726027397260273</v>
      </c>
      <c r="U157" s="82">
        <f>R157-(S157*Q157*3)</f>
        <v>281488.88888888893</v>
      </c>
      <c r="V157" s="82">
        <v>151</v>
      </c>
      <c r="W157" s="82"/>
      <c r="X157" s="83"/>
    </row>
    <row r="158" spans="1:24" s="68" customFormat="1" x14ac:dyDescent="0.2">
      <c r="A158" s="87">
        <v>43215</v>
      </c>
      <c r="B158" s="87" t="s">
        <v>83</v>
      </c>
      <c r="C158" s="87" t="s">
        <v>311</v>
      </c>
      <c r="D158" s="88" t="s">
        <v>96</v>
      </c>
      <c r="E158" s="87" t="s">
        <v>52</v>
      </c>
      <c r="F158" s="81">
        <v>0.2</v>
      </c>
      <c r="G158" s="68">
        <v>840</v>
      </c>
      <c r="H158" s="68">
        <v>118</v>
      </c>
      <c r="I158" s="68">
        <v>0</v>
      </c>
      <c r="J158" s="68">
        <v>127</v>
      </c>
      <c r="K158" s="68">
        <v>1</v>
      </c>
      <c r="L158" s="68">
        <v>111</v>
      </c>
      <c r="M158" s="68">
        <v>0</v>
      </c>
      <c r="Q158" s="82">
        <f>AVERAGE(H158,J158,L158)/F158</f>
        <v>593.33333333333337</v>
      </c>
      <c r="R158" s="82">
        <f>Q158*G158</f>
        <v>498400.00000000006</v>
      </c>
      <c r="S158" s="81">
        <f>800/Q158</f>
        <v>1.348314606741573</v>
      </c>
      <c r="U158" s="82">
        <f>R158-(S158*Q158*3)</f>
        <v>496000.00000000006</v>
      </c>
      <c r="V158" s="82">
        <v>152</v>
      </c>
      <c r="W158" s="82"/>
      <c r="X158" s="83"/>
    </row>
    <row r="159" spans="1:24" s="68" customFormat="1" x14ac:dyDescent="0.2">
      <c r="A159" s="87">
        <v>43215</v>
      </c>
      <c r="B159" s="87" t="s">
        <v>36</v>
      </c>
      <c r="C159" s="87" t="s">
        <v>311</v>
      </c>
      <c r="D159" s="88" t="s">
        <v>38</v>
      </c>
      <c r="E159" s="87" t="s">
        <v>52</v>
      </c>
      <c r="F159" s="81">
        <v>0.3</v>
      </c>
      <c r="G159" s="68">
        <v>650</v>
      </c>
      <c r="H159" s="68">
        <v>108</v>
      </c>
      <c r="I159" s="68">
        <v>1</v>
      </c>
      <c r="J159" s="68">
        <v>116</v>
      </c>
      <c r="K159" s="68">
        <v>0</v>
      </c>
      <c r="L159" s="68">
        <v>97</v>
      </c>
      <c r="M159" s="68">
        <v>1</v>
      </c>
      <c r="Q159" s="82">
        <f>AVERAGE(H159,J159,L159)/F159</f>
        <v>356.66666666666669</v>
      </c>
      <c r="R159" s="82">
        <f>Q159*G159</f>
        <v>231833.33333333334</v>
      </c>
      <c r="S159" s="81">
        <f>800/Q159</f>
        <v>2.2429906542056073</v>
      </c>
      <c r="U159" s="82">
        <f>R159-(S159*Q159*3)</f>
        <v>229433.33333333334</v>
      </c>
      <c r="V159" s="82">
        <v>153</v>
      </c>
      <c r="W159" s="82"/>
      <c r="X159" s="83"/>
    </row>
    <row r="160" spans="1:24" s="68" customFormat="1" x14ac:dyDescent="0.2">
      <c r="A160" s="87">
        <v>43215</v>
      </c>
      <c r="B160" s="87" t="s">
        <v>60</v>
      </c>
      <c r="C160" s="87" t="s">
        <v>311</v>
      </c>
      <c r="D160" s="88" t="s">
        <v>65</v>
      </c>
      <c r="E160" s="87" t="s">
        <v>52</v>
      </c>
      <c r="F160" s="81">
        <v>0.3</v>
      </c>
      <c r="G160" s="68">
        <v>575</v>
      </c>
      <c r="H160" s="68">
        <v>115</v>
      </c>
      <c r="I160" s="68">
        <v>2</v>
      </c>
      <c r="J160" s="68">
        <v>116</v>
      </c>
      <c r="K160" s="68">
        <v>1</v>
      </c>
      <c r="L160" s="68">
        <v>154</v>
      </c>
      <c r="M160" s="68">
        <v>3</v>
      </c>
      <c r="Q160" s="82">
        <f>AVERAGE(H160,J160,L160)/F160</f>
        <v>427.77777777777783</v>
      </c>
      <c r="R160" s="82">
        <f>Q160*G160</f>
        <v>245972.22222222225</v>
      </c>
      <c r="S160" s="81">
        <f>800/Q160</f>
        <v>1.8701298701298699</v>
      </c>
      <c r="U160" s="82">
        <f>R160-(S160*Q160*3)</f>
        <v>243572.22222222225</v>
      </c>
      <c r="V160" s="82">
        <v>154</v>
      </c>
      <c r="W160" s="82"/>
      <c r="X160" s="83"/>
    </row>
    <row r="161" spans="1:22" x14ac:dyDescent="0.2">
      <c r="A161" s="34">
        <v>43217</v>
      </c>
      <c r="B161" s="34" t="s">
        <v>29</v>
      </c>
      <c r="C161" s="34" t="s">
        <v>311</v>
      </c>
      <c r="D161" s="45" t="s">
        <v>61</v>
      </c>
      <c r="E161" s="34" t="s">
        <v>52</v>
      </c>
      <c r="F161" s="30">
        <v>0.3</v>
      </c>
      <c r="G161" s="29">
        <v>780</v>
      </c>
      <c r="H161" s="29">
        <v>112</v>
      </c>
      <c r="I161" s="29">
        <v>2</v>
      </c>
      <c r="J161" s="29">
        <v>108</v>
      </c>
      <c r="K161" s="29">
        <v>0</v>
      </c>
      <c r="L161" s="29">
        <v>110</v>
      </c>
      <c r="M161" s="29">
        <v>2</v>
      </c>
      <c r="Q161" s="31">
        <f>AVERAGE(H161,J161,L161)/F161</f>
        <v>366.66666666666669</v>
      </c>
      <c r="R161" s="31">
        <f>Q161*G161</f>
        <v>286000</v>
      </c>
      <c r="S161" s="30">
        <f>800/Q161</f>
        <v>2.1818181818181817</v>
      </c>
      <c r="U161" s="31">
        <f>R161-(S161*Q161*3)</f>
        <v>283600</v>
      </c>
      <c r="V161" s="31">
        <v>155</v>
      </c>
    </row>
  </sheetData>
  <autoFilter ref="A1:Y161" xr:uid="{0CAF009A-690F-EC44-A78E-F7C1D16AD7A4}">
    <filterColumn colId="20">
      <customFilters>
        <customFilter operator="greaterThanOrEqual" val="50000"/>
      </customFilters>
    </filterColumn>
  </autoFilter>
  <sortState xmlns:xlrd2="http://schemas.microsoft.com/office/spreadsheetml/2017/richdata2" ref="A2:Y161">
    <sortCondition ref="V2:V16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5"/>
  <sheetViews>
    <sheetView showRuler="0" workbookViewId="0">
      <selection activeCell="N23" sqref="N23"/>
    </sheetView>
  </sheetViews>
  <sheetFormatPr baseColWidth="10" defaultRowHeight="16" x14ac:dyDescent="0.2"/>
  <cols>
    <col min="1" max="1" width="11.83203125" style="184" customWidth="1"/>
    <col min="2" max="2" width="15.33203125" style="184" customWidth="1"/>
    <col min="3" max="3" width="14.83203125" style="184" customWidth="1"/>
    <col min="4" max="4" width="10.83203125" style="184"/>
    <col min="5" max="6" width="10.83203125" style="184" customWidth="1"/>
    <col min="7" max="7" width="13.83203125" style="184" customWidth="1"/>
    <col min="8" max="8" width="15.33203125" style="184" customWidth="1"/>
    <col min="9" max="10" width="14.1640625" style="184" customWidth="1"/>
    <col min="11" max="23" width="10.83203125" style="184"/>
    <col min="24" max="24" width="10.83203125" style="184" customWidth="1"/>
    <col min="25" max="16384" width="10.83203125" style="184"/>
  </cols>
  <sheetData>
    <row r="1" spans="1:24" s="189" customFormat="1" ht="17" x14ac:dyDescent="0.2">
      <c r="A1" s="189" t="s">
        <v>389</v>
      </c>
      <c r="B1" s="189" t="s">
        <v>388</v>
      </c>
      <c r="C1" s="189" t="s">
        <v>387</v>
      </c>
      <c r="D1" s="189" t="s">
        <v>156</v>
      </c>
      <c r="E1" s="189" t="s">
        <v>315</v>
      </c>
      <c r="F1" s="189" t="s">
        <v>316</v>
      </c>
      <c r="G1" s="189" t="s">
        <v>390</v>
      </c>
      <c r="H1" s="189" t="s">
        <v>391</v>
      </c>
      <c r="I1" s="189" t="s">
        <v>392</v>
      </c>
      <c r="J1" s="189" t="s">
        <v>393</v>
      </c>
    </row>
    <row r="2" spans="1:24" x14ac:dyDescent="0.2">
      <c r="A2" s="194">
        <v>43190</v>
      </c>
      <c r="B2" s="194">
        <v>43226</v>
      </c>
      <c r="C2" s="187">
        <f>B2-A2</f>
        <v>36</v>
      </c>
      <c r="D2" s="184" t="s">
        <v>230</v>
      </c>
      <c r="E2" s="184" t="s">
        <v>311</v>
      </c>
      <c r="F2" s="184" t="s">
        <v>29</v>
      </c>
      <c r="G2" s="184">
        <v>12</v>
      </c>
      <c r="H2" s="184">
        <v>60</v>
      </c>
      <c r="I2" s="184">
        <v>3</v>
      </c>
      <c r="J2" s="184">
        <f t="shared" ref="J2:J33" si="0">SUM(G2:I2)</f>
        <v>75</v>
      </c>
      <c r="X2" s="195"/>
    </row>
    <row r="3" spans="1:24" x14ac:dyDescent="0.2">
      <c r="A3" s="194">
        <v>43190</v>
      </c>
      <c r="B3" s="194">
        <v>43226</v>
      </c>
      <c r="C3" s="187">
        <f t="shared" ref="C3:C66" si="1">B3-A3</f>
        <v>36</v>
      </c>
      <c r="D3" s="184" t="s">
        <v>231</v>
      </c>
      <c r="E3" s="184" t="s">
        <v>311</v>
      </c>
      <c r="F3" s="184" t="s">
        <v>29</v>
      </c>
      <c r="G3" s="184">
        <v>16</v>
      </c>
      <c r="H3" s="184">
        <v>39</v>
      </c>
      <c r="I3" s="184">
        <v>8</v>
      </c>
      <c r="J3" s="184">
        <f t="shared" si="0"/>
        <v>63</v>
      </c>
    </row>
    <row r="4" spans="1:24" x14ac:dyDescent="0.2">
      <c r="A4" s="194">
        <v>43190</v>
      </c>
      <c r="B4" s="194">
        <v>43226</v>
      </c>
      <c r="C4" s="187">
        <f t="shared" si="1"/>
        <v>36</v>
      </c>
      <c r="D4" s="184" t="s">
        <v>232</v>
      </c>
      <c r="E4" s="184" t="s">
        <v>311</v>
      </c>
      <c r="F4" s="184" t="s">
        <v>29</v>
      </c>
      <c r="G4" s="184">
        <v>3</v>
      </c>
      <c r="H4" s="184">
        <v>39</v>
      </c>
      <c r="I4" s="184">
        <v>1</v>
      </c>
      <c r="J4" s="184">
        <f t="shared" si="0"/>
        <v>43</v>
      </c>
    </row>
    <row r="5" spans="1:24" x14ac:dyDescent="0.2">
      <c r="A5" s="194">
        <v>43191</v>
      </c>
      <c r="B5" s="194">
        <v>43226</v>
      </c>
      <c r="C5" s="187">
        <f t="shared" si="1"/>
        <v>35</v>
      </c>
      <c r="D5" s="184" t="s">
        <v>233</v>
      </c>
      <c r="E5" s="184" t="s">
        <v>312</v>
      </c>
      <c r="F5" s="184" t="s">
        <v>28</v>
      </c>
      <c r="G5" s="184">
        <v>2</v>
      </c>
      <c r="H5" s="184">
        <v>38</v>
      </c>
      <c r="I5" s="184">
        <v>0</v>
      </c>
      <c r="J5" s="184">
        <f t="shared" si="0"/>
        <v>40</v>
      </c>
    </row>
    <row r="6" spans="1:24" x14ac:dyDescent="0.2">
      <c r="A6" s="194">
        <v>43191</v>
      </c>
      <c r="B6" s="194">
        <v>43226</v>
      </c>
      <c r="C6" s="187">
        <f t="shared" si="1"/>
        <v>35</v>
      </c>
      <c r="D6" s="184" t="s">
        <v>234</v>
      </c>
      <c r="E6" s="184" t="s">
        <v>312</v>
      </c>
      <c r="F6" s="184" t="s">
        <v>28</v>
      </c>
      <c r="G6" s="184">
        <v>0</v>
      </c>
      <c r="H6" s="184">
        <v>20</v>
      </c>
      <c r="I6" s="184">
        <v>1</v>
      </c>
      <c r="J6" s="184">
        <f t="shared" si="0"/>
        <v>21</v>
      </c>
    </row>
    <row r="7" spans="1:24" x14ac:dyDescent="0.2">
      <c r="A7" s="194">
        <v>43191</v>
      </c>
      <c r="B7" s="194">
        <v>43226</v>
      </c>
      <c r="C7" s="187">
        <f t="shared" si="1"/>
        <v>35</v>
      </c>
      <c r="D7" s="184" t="s">
        <v>235</v>
      </c>
      <c r="E7" s="184" t="s">
        <v>312</v>
      </c>
      <c r="F7" s="184" t="s">
        <v>28</v>
      </c>
      <c r="G7" s="184">
        <v>1</v>
      </c>
      <c r="H7" s="184">
        <v>3</v>
      </c>
      <c r="I7" s="184">
        <v>0</v>
      </c>
      <c r="J7" s="184">
        <f t="shared" si="0"/>
        <v>4</v>
      </c>
    </row>
    <row r="8" spans="1:24" x14ac:dyDescent="0.2">
      <c r="A8" s="194">
        <v>43192</v>
      </c>
      <c r="B8" s="194">
        <v>43228</v>
      </c>
      <c r="C8" s="187">
        <f t="shared" si="1"/>
        <v>36</v>
      </c>
      <c r="D8" s="184" t="s">
        <v>236</v>
      </c>
      <c r="E8" s="184" t="s">
        <v>313</v>
      </c>
      <c r="F8" s="184" t="s">
        <v>60</v>
      </c>
      <c r="G8" s="184">
        <v>20</v>
      </c>
      <c r="H8" s="184">
        <v>115</v>
      </c>
      <c r="I8" s="184">
        <v>12</v>
      </c>
      <c r="J8" s="184">
        <f t="shared" si="0"/>
        <v>147</v>
      </c>
    </row>
    <row r="9" spans="1:24" x14ac:dyDescent="0.2">
      <c r="A9" s="194">
        <v>43192</v>
      </c>
      <c r="B9" s="194">
        <v>43228</v>
      </c>
      <c r="C9" s="187">
        <f t="shared" si="1"/>
        <v>36</v>
      </c>
      <c r="D9" s="184" t="s">
        <v>237</v>
      </c>
      <c r="E9" s="184" t="s">
        <v>313</v>
      </c>
      <c r="F9" s="184" t="s">
        <v>60</v>
      </c>
      <c r="G9" s="184">
        <v>6</v>
      </c>
      <c r="H9" s="184">
        <v>133</v>
      </c>
      <c r="I9" s="184">
        <v>2</v>
      </c>
      <c r="J9" s="184">
        <f t="shared" si="0"/>
        <v>141</v>
      </c>
    </row>
    <row r="10" spans="1:24" x14ac:dyDescent="0.2">
      <c r="A10" s="194">
        <v>43192</v>
      </c>
      <c r="B10" s="194">
        <v>43228</v>
      </c>
      <c r="C10" s="187">
        <f t="shared" si="1"/>
        <v>36</v>
      </c>
      <c r="D10" s="184" t="s">
        <v>238</v>
      </c>
      <c r="E10" s="184" t="s">
        <v>313</v>
      </c>
      <c r="F10" s="184" t="s">
        <v>60</v>
      </c>
      <c r="G10" s="184">
        <v>12</v>
      </c>
      <c r="H10" s="184">
        <v>202</v>
      </c>
      <c r="I10" s="184">
        <v>4</v>
      </c>
      <c r="J10" s="184">
        <f t="shared" si="0"/>
        <v>218</v>
      </c>
    </row>
    <row r="11" spans="1:24" x14ac:dyDescent="0.2">
      <c r="A11" s="194">
        <v>43192</v>
      </c>
      <c r="B11" s="194">
        <v>43228</v>
      </c>
      <c r="C11" s="187">
        <f t="shared" si="1"/>
        <v>36</v>
      </c>
      <c r="D11" s="184" t="s">
        <v>239</v>
      </c>
      <c r="E11" s="184" t="s">
        <v>311</v>
      </c>
      <c r="F11" s="184" t="s">
        <v>36</v>
      </c>
      <c r="G11" s="184">
        <v>8</v>
      </c>
      <c r="H11" s="184">
        <v>42</v>
      </c>
      <c r="I11" s="184">
        <v>7</v>
      </c>
      <c r="J11" s="184">
        <f t="shared" si="0"/>
        <v>57</v>
      </c>
    </row>
    <row r="12" spans="1:24" x14ac:dyDescent="0.2">
      <c r="A12" s="194">
        <v>43192</v>
      </c>
      <c r="B12" s="194">
        <v>43228</v>
      </c>
      <c r="C12" s="187">
        <f t="shared" si="1"/>
        <v>36</v>
      </c>
      <c r="D12" s="184" t="s">
        <v>240</v>
      </c>
      <c r="E12" s="184" t="s">
        <v>311</v>
      </c>
      <c r="F12" s="184" t="s">
        <v>36</v>
      </c>
      <c r="G12" s="184">
        <v>10</v>
      </c>
      <c r="H12" s="184">
        <v>36</v>
      </c>
      <c r="I12" s="184">
        <v>3</v>
      </c>
      <c r="J12" s="184">
        <f t="shared" si="0"/>
        <v>49</v>
      </c>
    </row>
    <row r="13" spans="1:24" x14ac:dyDescent="0.2">
      <c r="A13" s="194">
        <v>43192</v>
      </c>
      <c r="B13" s="194">
        <v>43228</v>
      </c>
      <c r="C13" s="187">
        <f t="shared" si="1"/>
        <v>36</v>
      </c>
      <c r="D13" s="184" t="s">
        <v>241</v>
      </c>
      <c r="E13" s="184" t="s">
        <v>311</v>
      </c>
      <c r="F13" s="184" t="s">
        <v>36</v>
      </c>
      <c r="G13" s="184">
        <v>2</v>
      </c>
      <c r="H13" s="184">
        <v>27</v>
      </c>
      <c r="I13" s="184">
        <v>2</v>
      </c>
      <c r="J13" s="184">
        <f t="shared" si="0"/>
        <v>31</v>
      </c>
    </row>
    <row r="14" spans="1:24" x14ac:dyDescent="0.2">
      <c r="A14" s="194">
        <v>43192</v>
      </c>
      <c r="B14" s="194">
        <v>43228</v>
      </c>
      <c r="C14" s="187">
        <f t="shared" si="1"/>
        <v>36</v>
      </c>
      <c r="D14" s="184" t="s">
        <v>242</v>
      </c>
      <c r="E14" s="184" t="s">
        <v>312</v>
      </c>
      <c r="F14" s="184" t="s">
        <v>37</v>
      </c>
      <c r="G14" s="184">
        <v>28</v>
      </c>
      <c r="H14" s="184">
        <v>53</v>
      </c>
      <c r="I14" s="184">
        <v>7</v>
      </c>
      <c r="J14" s="184">
        <f t="shared" si="0"/>
        <v>88</v>
      </c>
    </row>
    <row r="15" spans="1:24" x14ac:dyDescent="0.2">
      <c r="A15" s="194">
        <v>43192</v>
      </c>
      <c r="B15" s="194">
        <v>43228</v>
      </c>
      <c r="C15" s="187">
        <f t="shared" si="1"/>
        <v>36</v>
      </c>
      <c r="D15" s="184" t="s">
        <v>243</v>
      </c>
      <c r="E15" s="184" t="s">
        <v>312</v>
      </c>
      <c r="F15" s="184" t="s">
        <v>37</v>
      </c>
      <c r="G15" s="184">
        <v>19</v>
      </c>
      <c r="H15" s="184">
        <v>36</v>
      </c>
      <c r="I15" s="184">
        <v>5</v>
      </c>
      <c r="J15" s="184">
        <f t="shared" si="0"/>
        <v>60</v>
      </c>
    </row>
    <row r="16" spans="1:24" x14ac:dyDescent="0.2">
      <c r="A16" s="194">
        <v>43192</v>
      </c>
      <c r="B16" s="194">
        <v>43228</v>
      </c>
      <c r="C16" s="187">
        <f t="shared" si="1"/>
        <v>36</v>
      </c>
      <c r="D16" s="184" t="s">
        <v>244</v>
      </c>
      <c r="E16" s="184" t="s">
        <v>312</v>
      </c>
      <c r="F16" s="184" t="s">
        <v>37</v>
      </c>
      <c r="G16" s="184">
        <v>28</v>
      </c>
      <c r="H16" s="184">
        <v>40</v>
      </c>
      <c r="I16" s="184">
        <v>15</v>
      </c>
      <c r="J16" s="184">
        <f t="shared" si="0"/>
        <v>83</v>
      </c>
    </row>
    <row r="17" spans="1:10" x14ac:dyDescent="0.2">
      <c r="A17" s="194">
        <v>43192</v>
      </c>
      <c r="B17" s="194">
        <v>43228</v>
      </c>
      <c r="C17" s="187">
        <f t="shared" si="1"/>
        <v>36</v>
      </c>
      <c r="D17" s="184" t="s">
        <v>245</v>
      </c>
      <c r="E17" s="184" t="s">
        <v>313</v>
      </c>
      <c r="F17" s="184" t="s">
        <v>58</v>
      </c>
      <c r="G17" s="184">
        <v>4</v>
      </c>
      <c r="H17" s="184">
        <v>108</v>
      </c>
      <c r="I17" s="184">
        <v>3</v>
      </c>
      <c r="J17" s="184">
        <f t="shared" si="0"/>
        <v>115</v>
      </c>
    </row>
    <row r="18" spans="1:10" x14ac:dyDescent="0.2">
      <c r="A18" s="194">
        <v>43192</v>
      </c>
      <c r="B18" s="194">
        <v>43228</v>
      </c>
      <c r="C18" s="187">
        <f t="shared" si="1"/>
        <v>36</v>
      </c>
      <c r="D18" s="184" t="s">
        <v>246</v>
      </c>
      <c r="E18" s="184" t="s">
        <v>313</v>
      </c>
      <c r="F18" s="184" t="s">
        <v>58</v>
      </c>
      <c r="G18" s="184">
        <v>16</v>
      </c>
      <c r="H18" s="184">
        <v>146</v>
      </c>
      <c r="I18" s="184">
        <v>4</v>
      </c>
      <c r="J18" s="184">
        <f t="shared" si="0"/>
        <v>166</v>
      </c>
    </row>
    <row r="19" spans="1:10" x14ac:dyDescent="0.2">
      <c r="A19" s="194">
        <v>43192</v>
      </c>
      <c r="B19" s="194">
        <v>43228</v>
      </c>
      <c r="C19" s="187">
        <f t="shared" si="1"/>
        <v>36</v>
      </c>
      <c r="D19" s="184" t="s">
        <v>247</v>
      </c>
      <c r="E19" s="184" t="s">
        <v>313</v>
      </c>
      <c r="F19" s="184" t="s">
        <v>58</v>
      </c>
      <c r="G19" s="184">
        <v>2</v>
      </c>
      <c r="H19" s="184">
        <v>143</v>
      </c>
      <c r="I19" s="184">
        <v>1</v>
      </c>
      <c r="J19" s="184">
        <f t="shared" si="0"/>
        <v>146</v>
      </c>
    </row>
    <row r="20" spans="1:10" x14ac:dyDescent="0.2">
      <c r="A20" s="194">
        <v>43192</v>
      </c>
      <c r="B20" s="194">
        <v>43228</v>
      </c>
      <c r="C20" s="187">
        <f t="shared" si="1"/>
        <v>36</v>
      </c>
      <c r="D20" s="184" t="s">
        <v>248</v>
      </c>
      <c r="E20" s="184" t="s">
        <v>311</v>
      </c>
      <c r="F20" s="184" t="s">
        <v>29</v>
      </c>
      <c r="G20" s="184">
        <v>5</v>
      </c>
      <c r="H20" s="184">
        <v>49</v>
      </c>
      <c r="I20" s="184">
        <v>15</v>
      </c>
      <c r="J20" s="184">
        <f t="shared" si="0"/>
        <v>69</v>
      </c>
    </row>
    <row r="21" spans="1:10" x14ac:dyDescent="0.2">
      <c r="A21" s="194">
        <v>43192</v>
      </c>
      <c r="B21" s="194">
        <v>43228</v>
      </c>
      <c r="C21" s="187">
        <f t="shared" si="1"/>
        <v>36</v>
      </c>
      <c r="D21" s="184" t="s">
        <v>249</v>
      </c>
      <c r="E21" s="184" t="s">
        <v>311</v>
      </c>
      <c r="F21" s="184" t="s">
        <v>29</v>
      </c>
      <c r="G21" s="184">
        <v>5</v>
      </c>
      <c r="H21" s="184">
        <v>22</v>
      </c>
      <c r="I21" s="184">
        <v>6</v>
      </c>
      <c r="J21" s="184">
        <f t="shared" si="0"/>
        <v>33</v>
      </c>
    </row>
    <row r="22" spans="1:10" x14ac:dyDescent="0.2">
      <c r="A22" s="194">
        <v>43192</v>
      </c>
      <c r="B22" s="194">
        <v>43228</v>
      </c>
      <c r="C22" s="187">
        <f t="shared" si="1"/>
        <v>36</v>
      </c>
      <c r="D22" s="184" t="s">
        <v>250</v>
      </c>
      <c r="E22" s="184" t="s">
        <v>311</v>
      </c>
      <c r="F22" s="184" t="s">
        <v>29</v>
      </c>
      <c r="G22" s="184">
        <v>4</v>
      </c>
      <c r="H22" s="184">
        <v>19</v>
      </c>
      <c r="I22" s="184">
        <v>4</v>
      </c>
      <c r="J22" s="184">
        <f t="shared" si="0"/>
        <v>27</v>
      </c>
    </row>
    <row r="23" spans="1:10" x14ac:dyDescent="0.2">
      <c r="A23" s="194">
        <v>43193</v>
      </c>
      <c r="B23" s="194">
        <v>43228</v>
      </c>
      <c r="C23" s="187">
        <f t="shared" si="1"/>
        <v>35</v>
      </c>
      <c r="D23" s="184" t="s">
        <v>251</v>
      </c>
      <c r="E23" s="184" t="s">
        <v>312</v>
      </c>
      <c r="F23" s="184" t="s">
        <v>37</v>
      </c>
      <c r="G23" s="184">
        <v>0</v>
      </c>
      <c r="H23" s="184">
        <v>2</v>
      </c>
      <c r="I23" s="184">
        <v>0</v>
      </c>
      <c r="J23" s="184">
        <f t="shared" si="0"/>
        <v>2</v>
      </c>
    </row>
    <row r="24" spans="1:10" x14ac:dyDescent="0.2">
      <c r="A24" s="194">
        <v>43193</v>
      </c>
      <c r="B24" s="194">
        <v>43228</v>
      </c>
      <c r="C24" s="187">
        <f t="shared" si="1"/>
        <v>35</v>
      </c>
      <c r="D24" s="184" t="s">
        <v>252</v>
      </c>
      <c r="E24" s="184" t="s">
        <v>312</v>
      </c>
      <c r="F24" s="184" t="s">
        <v>37</v>
      </c>
      <c r="G24" s="184">
        <v>0</v>
      </c>
      <c r="H24" s="184">
        <v>0</v>
      </c>
      <c r="I24" s="184">
        <v>0</v>
      </c>
      <c r="J24" s="184">
        <f t="shared" si="0"/>
        <v>0</v>
      </c>
    </row>
    <row r="25" spans="1:10" x14ac:dyDescent="0.2">
      <c r="A25" s="194">
        <v>43193</v>
      </c>
      <c r="B25" s="194">
        <v>43228</v>
      </c>
      <c r="C25" s="187">
        <f t="shared" si="1"/>
        <v>35</v>
      </c>
      <c r="D25" s="184" t="s">
        <v>253</v>
      </c>
      <c r="E25" s="184" t="s">
        <v>312</v>
      </c>
      <c r="F25" s="184" t="s">
        <v>37</v>
      </c>
      <c r="G25" s="184">
        <v>1</v>
      </c>
      <c r="H25" s="184">
        <v>3</v>
      </c>
      <c r="I25" s="184">
        <v>0</v>
      </c>
      <c r="J25" s="184">
        <f t="shared" si="0"/>
        <v>4</v>
      </c>
    </row>
    <row r="26" spans="1:10" x14ac:dyDescent="0.2">
      <c r="A26" s="194">
        <v>43193</v>
      </c>
      <c r="B26" s="194">
        <v>43228</v>
      </c>
      <c r="C26" s="187">
        <f t="shared" si="1"/>
        <v>35</v>
      </c>
      <c r="D26" s="184" t="s">
        <v>254</v>
      </c>
      <c r="E26" s="184" t="s">
        <v>313</v>
      </c>
      <c r="F26" s="184" t="s">
        <v>58</v>
      </c>
      <c r="G26" s="184">
        <v>1</v>
      </c>
      <c r="H26" s="184">
        <v>8</v>
      </c>
      <c r="I26" s="184">
        <v>0</v>
      </c>
      <c r="J26" s="184">
        <f t="shared" si="0"/>
        <v>9</v>
      </c>
    </row>
    <row r="27" spans="1:10" x14ac:dyDescent="0.2">
      <c r="A27" s="194">
        <v>43193</v>
      </c>
      <c r="B27" s="194">
        <v>43228</v>
      </c>
      <c r="C27" s="187">
        <f t="shared" si="1"/>
        <v>35</v>
      </c>
      <c r="D27" s="184" t="s">
        <v>255</v>
      </c>
      <c r="E27" s="184" t="s">
        <v>313</v>
      </c>
      <c r="F27" s="184" t="s">
        <v>58</v>
      </c>
      <c r="G27" s="184">
        <v>2</v>
      </c>
      <c r="H27" s="184">
        <v>4</v>
      </c>
      <c r="I27" s="184">
        <v>0</v>
      </c>
      <c r="J27" s="184">
        <f t="shared" si="0"/>
        <v>6</v>
      </c>
    </row>
    <row r="28" spans="1:10" x14ac:dyDescent="0.2">
      <c r="A28" s="194">
        <v>43193</v>
      </c>
      <c r="B28" s="194">
        <v>43228</v>
      </c>
      <c r="C28" s="187">
        <f t="shared" si="1"/>
        <v>35</v>
      </c>
      <c r="D28" s="184" t="s">
        <v>256</v>
      </c>
      <c r="E28" s="184" t="s">
        <v>313</v>
      </c>
      <c r="F28" s="184" t="s">
        <v>58</v>
      </c>
      <c r="G28" s="184">
        <v>2</v>
      </c>
      <c r="H28" s="184">
        <v>17</v>
      </c>
      <c r="I28" s="184">
        <v>0</v>
      </c>
      <c r="J28" s="184">
        <f t="shared" si="0"/>
        <v>19</v>
      </c>
    </row>
    <row r="29" spans="1:10" x14ac:dyDescent="0.2">
      <c r="A29" s="194">
        <v>43194</v>
      </c>
      <c r="B29" s="194">
        <v>43230</v>
      </c>
      <c r="C29" s="187">
        <f t="shared" si="1"/>
        <v>36</v>
      </c>
      <c r="D29" s="184" t="s">
        <v>257</v>
      </c>
      <c r="E29" s="184" t="s">
        <v>314</v>
      </c>
      <c r="F29" s="184" t="s">
        <v>83</v>
      </c>
      <c r="G29" s="184">
        <v>2</v>
      </c>
      <c r="H29" s="184">
        <v>33</v>
      </c>
      <c r="I29" s="184">
        <v>1</v>
      </c>
      <c r="J29" s="184">
        <f t="shared" si="0"/>
        <v>36</v>
      </c>
    </row>
    <row r="30" spans="1:10" x14ac:dyDescent="0.2">
      <c r="A30" s="194">
        <v>43194</v>
      </c>
      <c r="B30" s="194">
        <v>43230</v>
      </c>
      <c r="C30" s="187">
        <f t="shared" si="1"/>
        <v>36</v>
      </c>
      <c r="D30" s="184" t="s">
        <v>258</v>
      </c>
      <c r="E30" s="184" t="s">
        <v>314</v>
      </c>
      <c r="F30" s="184" t="s">
        <v>83</v>
      </c>
      <c r="G30" s="184">
        <v>0</v>
      </c>
      <c r="H30" s="184">
        <v>5</v>
      </c>
      <c r="I30" s="184">
        <v>2</v>
      </c>
      <c r="J30" s="184">
        <f t="shared" si="0"/>
        <v>7</v>
      </c>
    </row>
    <row r="31" spans="1:10" x14ac:dyDescent="0.2">
      <c r="A31" s="194">
        <v>43194</v>
      </c>
      <c r="B31" s="194">
        <v>43230</v>
      </c>
      <c r="C31" s="187">
        <f t="shared" si="1"/>
        <v>36</v>
      </c>
      <c r="D31" s="184" t="s">
        <v>259</v>
      </c>
      <c r="E31" s="184" t="s">
        <v>314</v>
      </c>
      <c r="F31" s="184" t="s">
        <v>83</v>
      </c>
      <c r="G31" s="184">
        <v>0</v>
      </c>
      <c r="H31" s="184">
        <v>5</v>
      </c>
      <c r="I31" s="184">
        <v>1</v>
      </c>
      <c r="J31" s="184">
        <f t="shared" si="0"/>
        <v>6</v>
      </c>
    </row>
    <row r="32" spans="1:10" x14ac:dyDescent="0.2">
      <c r="A32" s="194">
        <v>43195</v>
      </c>
      <c r="B32" s="194">
        <v>43230</v>
      </c>
      <c r="C32" s="187">
        <f t="shared" si="1"/>
        <v>35</v>
      </c>
      <c r="D32" s="184" t="s">
        <v>260</v>
      </c>
      <c r="E32" s="184" t="s">
        <v>314</v>
      </c>
      <c r="F32" s="184" t="s">
        <v>82</v>
      </c>
      <c r="G32" s="184">
        <v>1</v>
      </c>
      <c r="H32" s="184">
        <v>93</v>
      </c>
      <c r="I32" s="184">
        <v>8</v>
      </c>
      <c r="J32" s="184">
        <f t="shared" si="0"/>
        <v>102</v>
      </c>
    </row>
    <row r="33" spans="1:10" x14ac:dyDescent="0.2">
      <c r="A33" s="194">
        <v>43195</v>
      </c>
      <c r="B33" s="194">
        <v>43230</v>
      </c>
      <c r="C33" s="187">
        <f t="shared" si="1"/>
        <v>35</v>
      </c>
      <c r="D33" s="184" t="s">
        <v>261</v>
      </c>
      <c r="E33" s="184" t="s">
        <v>314</v>
      </c>
      <c r="F33" s="184" t="s">
        <v>82</v>
      </c>
      <c r="G33" s="184">
        <v>1</v>
      </c>
      <c r="H33" s="184">
        <v>65</v>
      </c>
      <c r="I33" s="184">
        <v>30</v>
      </c>
      <c r="J33" s="184">
        <f t="shared" si="0"/>
        <v>96</v>
      </c>
    </row>
    <row r="34" spans="1:10" x14ac:dyDescent="0.2">
      <c r="A34" s="194">
        <v>43195</v>
      </c>
      <c r="B34" s="194">
        <v>43230</v>
      </c>
      <c r="C34" s="187">
        <f t="shared" si="1"/>
        <v>35</v>
      </c>
      <c r="D34" s="184" t="s">
        <v>262</v>
      </c>
      <c r="E34" s="184" t="s">
        <v>314</v>
      </c>
      <c r="F34" s="184" t="s">
        <v>82</v>
      </c>
      <c r="G34" s="184">
        <v>0</v>
      </c>
      <c r="H34" s="184">
        <v>39</v>
      </c>
      <c r="I34" s="184">
        <v>4</v>
      </c>
      <c r="J34" s="184">
        <f t="shared" ref="J34:J65" si="2">SUM(G34:I34)</f>
        <v>43</v>
      </c>
    </row>
    <row r="35" spans="1:10" x14ac:dyDescent="0.2">
      <c r="A35" s="194">
        <v>43195</v>
      </c>
      <c r="B35" s="194">
        <v>43230</v>
      </c>
      <c r="C35" s="187">
        <f t="shared" si="1"/>
        <v>35</v>
      </c>
      <c r="D35" s="184" t="s">
        <v>263</v>
      </c>
      <c r="E35" s="184" t="s">
        <v>313</v>
      </c>
      <c r="F35" s="184" t="s">
        <v>60</v>
      </c>
      <c r="G35" s="184">
        <v>1</v>
      </c>
      <c r="H35" s="184">
        <v>4</v>
      </c>
      <c r="I35" s="184">
        <v>1</v>
      </c>
      <c r="J35" s="184">
        <f t="shared" si="2"/>
        <v>6</v>
      </c>
    </row>
    <row r="36" spans="1:10" x14ac:dyDescent="0.2">
      <c r="A36" s="194">
        <v>43195</v>
      </c>
      <c r="B36" s="194">
        <v>43230</v>
      </c>
      <c r="C36" s="187">
        <f t="shared" si="1"/>
        <v>35</v>
      </c>
      <c r="D36" s="184" t="s">
        <v>264</v>
      </c>
      <c r="E36" s="184" t="s">
        <v>313</v>
      </c>
      <c r="F36" s="184" t="s">
        <v>60</v>
      </c>
      <c r="G36" s="184">
        <v>0</v>
      </c>
      <c r="H36" s="184">
        <v>12</v>
      </c>
      <c r="I36" s="184">
        <v>0</v>
      </c>
      <c r="J36" s="184">
        <f t="shared" si="2"/>
        <v>12</v>
      </c>
    </row>
    <row r="37" spans="1:10" x14ac:dyDescent="0.2">
      <c r="A37" s="194">
        <v>43195</v>
      </c>
      <c r="B37" s="194">
        <v>43230</v>
      </c>
      <c r="C37" s="187">
        <f t="shared" si="1"/>
        <v>35</v>
      </c>
      <c r="D37" s="184" t="s">
        <v>265</v>
      </c>
      <c r="E37" s="184" t="s">
        <v>313</v>
      </c>
      <c r="F37" s="184" t="s">
        <v>60</v>
      </c>
      <c r="G37" s="184">
        <v>1</v>
      </c>
      <c r="H37" s="184">
        <v>5</v>
      </c>
      <c r="I37" s="184">
        <v>0</v>
      </c>
      <c r="J37" s="184">
        <f t="shared" si="2"/>
        <v>6</v>
      </c>
    </row>
    <row r="38" spans="1:10" x14ac:dyDescent="0.2">
      <c r="A38" s="194">
        <v>43196</v>
      </c>
      <c r="B38" s="194">
        <v>43233</v>
      </c>
      <c r="C38" s="187">
        <f t="shared" si="1"/>
        <v>37</v>
      </c>
      <c r="D38" s="184" t="s">
        <v>266</v>
      </c>
      <c r="E38" s="184" t="s">
        <v>312</v>
      </c>
      <c r="F38" s="184" t="s">
        <v>28</v>
      </c>
      <c r="G38" s="184">
        <v>1</v>
      </c>
      <c r="H38" s="184">
        <v>88</v>
      </c>
      <c r="I38" s="184">
        <v>0</v>
      </c>
      <c r="J38" s="184">
        <f t="shared" si="2"/>
        <v>89</v>
      </c>
    </row>
    <row r="39" spans="1:10" x14ac:dyDescent="0.2">
      <c r="A39" s="194">
        <v>43196</v>
      </c>
      <c r="B39" s="194">
        <v>43233</v>
      </c>
      <c r="C39" s="187">
        <f t="shared" si="1"/>
        <v>37</v>
      </c>
      <c r="D39" s="184" t="s">
        <v>267</v>
      </c>
      <c r="E39" s="184" t="s">
        <v>312</v>
      </c>
      <c r="F39" s="184" t="s">
        <v>28</v>
      </c>
      <c r="G39" s="184">
        <v>2</v>
      </c>
      <c r="H39" s="184">
        <v>103</v>
      </c>
      <c r="I39" s="184">
        <v>4</v>
      </c>
      <c r="J39" s="184">
        <f t="shared" si="2"/>
        <v>109</v>
      </c>
    </row>
    <row r="40" spans="1:10" x14ac:dyDescent="0.2">
      <c r="A40" s="194">
        <v>43196</v>
      </c>
      <c r="B40" s="194">
        <v>43233</v>
      </c>
      <c r="C40" s="187">
        <f t="shared" si="1"/>
        <v>37</v>
      </c>
      <c r="D40" s="184" t="s">
        <v>268</v>
      </c>
      <c r="E40" s="184" t="s">
        <v>312</v>
      </c>
      <c r="F40" s="184" t="s">
        <v>28</v>
      </c>
      <c r="G40" s="184">
        <v>0</v>
      </c>
      <c r="H40" s="184">
        <v>1</v>
      </c>
      <c r="I40" s="184">
        <v>0</v>
      </c>
      <c r="J40" s="184">
        <f t="shared" si="2"/>
        <v>1</v>
      </c>
    </row>
    <row r="41" spans="1:10" x14ac:dyDescent="0.2">
      <c r="A41" s="194">
        <v>43197</v>
      </c>
      <c r="B41" s="194">
        <v>43233</v>
      </c>
      <c r="C41" s="187">
        <f t="shared" si="1"/>
        <v>36</v>
      </c>
      <c r="D41" s="184" t="s">
        <v>269</v>
      </c>
      <c r="E41" s="184" t="s">
        <v>311</v>
      </c>
      <c r="F41" s="184" t="s">
        <v>36</v>
      </c>
      <c r="G41" s="184">
        <v>13</v>
      </c>
      <c r="H41" s="184">
        <v>82</v>
      </c>
      <c r="I41" s="184">
        <v>6</v>
      </c>
      <c r="J41" s="184">
        <f t="shared" si="2"/>
        <v>101</v>
      </c>
    </row>
    <row r="42" spans="1:10" x14ac:dyDescent="0.2">
      <c r="A42" s="194">
        <v>43197</v>
      </c>
      <c r="B42" s="194">
        <v>43233</v>
      </c>
      <c r="C42" s="187">
        <f t="shared" si="1"/>
        <v>36</v>
      </c>
      <c r="D42" s="184" t="s">
        <v>270</v>
      </c>
      <c r="E42" s="184" t="s">
        <v>311</v>
      </c>
      <c r="F42" s="184" t="s">
        <v>36</v>
      </c>
      <c r="G42" s="184">
        <v>8</v>
      </c>
      <c r="H42" s="184">
        <v>78</v>
      </c>
      <c r="I42" s="184">
        <v>5</v>
      </c>
      <c r="J42" s="184">
        <f t="shared" si="2"/>
        <v>91</v>
      </c>
    </row>
    <row r="43" spans="1:10" x14ac:dyDescent="0.2">
      <c r="A43" s="194">
        <v>43197</v>
      </c>
      <c r="B43" s="194">
        <v>43233</v>
      </c>
      <c r="C43" s="187">
        <f t="shared" si="1"/>
        <v>36</v>
      </c>
      <c r="D43" s="184" t="s">
        <v>271</v>
      </c>
      <c r="E43" s="184" t="s">
        <v>311</v>
      </c>
      <c r="F43" s="184" t="s">
        <v>36</v>
      </c>
      <c r="G43" s="184">
        <v>15</v>
      </c>
      <c r="H43" s="184">
        <v>113</v>
      </c>
      <c r="I43" s="184">
        <v>13</v>
      </c>
      <c r="J43" s="184">
        <f t="shared" si="2"/>
        <v>141</v>
      </c>
    </row>
    <row r="44" spans="1:10" x14ac:dyDescent="0.2">
      <c r="A44" s="194">
        <v>43197</v>
      </c>
      <c r="B44" s="194">
        <v>43233</v>
      </c>
      <c r="C44" s="187">
        <f t="shared" si="1"/>
        <v>36</v>
      </c>
      <c r="D44" s="184" t="s">
        <v>272</v>
      </c>
      <c r="E44" s="184" t="s">
        <v>311</v>
      </c>
      <c r="F44" s="184" t="s">
        <v>36</v>
      </c>
      <c r="G44" s="184">
        <v>2</v>
      </c>
      <c r="H44" s="184">
        <v>69</v>
      </c>
      <c r="I44" s="184">
        <v>11</v>
      </c>
      <c r="J44" s="184">
        <f t="shared" si="2"/>
        <v>82</v>
      </c>
    </row>
    <row r="45" spans="1:10" x14ac:dyDescent="0.2">
      <c r="A45" s="194">
        <v>43197</v>
      </c>
      <c r="B45" s="194">
        <v>43233</v>
      </c>
      <c r="C45" s="187">
        <f t="shared" si="1"/>
        <v>36</v>
      </c>
      <c r="D45" s="184" t="s">
        <v>273</v>
      </c>
      <c r="E45" s="184" t="s">
        <v>311</v>
      </c>
      <c r="F45" s="184" t="s">
        <v>36</v>
      </c>
      <c r="G45" s="184">
        <v>3</v>
      </c>
      <c r="H45" s="184">
        <v>48</v>
      </c>
      <c r="I45" s="184">
        <v>6</v>
      </c>
      <c r="J45" s="184">
        <f t="shared" si="2"/>
        <v>57</v>
      </c>
    </row>
    <row r="46" spans="1:10" x14ac:dyDescent="0.2">
      <c r="A46" s="194">
        <v>43197</v>
      </c>
      <c r="B46" s="194">
        <v>43233</v>
      </c>
      <c r="C46" s="187">
        <f t="shared" si="1"/>
        <v>36</v>
      </c>
      <c r="D46" s="184" t="s">
        <v>274</v>
      </c>
      <c r="E46" s="184" t="s">
        <v>311</v>
      </c>
      <c r="F46" s="184" t="s">
        <v>36</v>
      </c>
      <c r="G46" s="184">
        <v>1</v>
      </c>
      <c r="H46" s="184">
        <v>60</v>
      </c>
      <c r="I46" s="184">
        <v>3</v>
      </c>
      <c r="J46" s="184">
        <f t="shared" si="2"/>
        <v>64</v>
      </c>
    </row>
    <row r="47" spans="1:10" x14ac:dyDescent="0.2">
      <c r="A47" s="194">
        <v>43197</v>
      </c>
      <c r="B47" s="194">
        <v>43233</v>
      </c>
      <c r="C47" s="187">
        <f t="shared" si="1"/>
        <v>36</v>
      </c>
      <c r="D47" s="184" t="s">
        <v>275</v>
      </c>
      <c r="E47" s="184" t="s">
        <v>313</v>
      </c>
      <c r="F47" s="184" t="s">
        <v>60</v>
      </c>
      <c r="G47" s="184">
        <v>27</v>
      </c>
      <c r="H47" s="184">
        <v>120</v>
      </c>
      <c r="I47" s="184">
        <v>20</v>
      </c>
      <c r="J47" s="184">
        <f t="shared" si="2"/>
        <v>167</v>
      </c>
    </row>
    <row r="48" spans="1:10" x14ac:dyDescent="0.2">
      <c r="A48" s="194">
        <v>43197</v>
      </c>
      <c r="B48" s="194">
        <v>43233</v>
      </c>
      <c r="C48" s="187">
        <f t="shared" si="1"/>
        <v>36</v>
      </c>
      <c r="D48" s="184" t="s">
        <v>276</v>
      </c>
      <c r="E48" s="184" t="s">
        <v>313</v>
      </c>
      <c r="F48" s="184" t="s">
        <v>60</v>
      </c>
      <c r="G48" s="184">
        <v>22</v>
      </c>
      <c r="H48" s="184">
        <v>254</v>
      </c>
      <c r="I48" s="184">
        <v>21</v>
      </c>
      <c r="J48" s="184">
        <f t="shared" si="2"/>
        <v>297</v>
      </c>
    </row>
    <row r="49" spans="1:10" x14ac:dyDescent="0.2">
      <c r="A49" s="194">
        <v>43197</v>
      </c>
      <c r="B49" s="194">
        <v>43233</v>
      </c>
      <c r="C49" s="187">
        <f t="shared" si="1"/>
        <v>36</v>
      </c>
      <c r="D49" s="184" t="s">
        <v>277</v>
      </c>
      <c r="E49" s="184" t="s">
        <v>313</v>
      </c>
      <c r="F49" s="184" t="s">
        <v>60</v>
      </c>
      <c r="G49" s="184">
        <v>23</v>
      </c>
      <c r="H49" s="184">
        <v>288</v>
      </c>
      <c r="I49" s="184">
        <v>16</v>
      </c>
      <c r="J49" s="184">
        <f t="shared" si="2"/>
        <v>327</v>
      </c>
    </row>
    <row r="50" spans="1:10" x14ac:dyDescent="0.2">
      <c r="A50" s="194">
        <v>43197</v>
      </c>
      <c r="B50" s="194">
        <v>43233</v>
      </c>
      <c r="C50" s="187">
        <f t="shared" si="1"/>
        <v>36</v>
      </c>
      <c r="D50" s="184" t="s">
        <v>278</v>
      </c>
      <c r="E50" s="184" t="s">
        <v>314</v>
      </c>
      <c r="F50" s="184" t="s">
        <v>83</v>
      </c>
      <c r="G50" s="184">
        <v>0</v>
      </c>
      <c r="H50" s="184">
        <v>40</v>
      </c>
      <c r="I50" s="184">
        <v>3</v>
      </c>
      <c r="J50" s="184">
        <f t="shared" si="2"/>
        <v>43</v>
      </c>
    </row>
    <row r="51" spans="1:10" x14ac:dyDescent="0.2">
      <c r="A51" s="194">
        <v>43197</v>
      </c>
      <c r="B51" s="194">
        <v>43233</v>
      </c>
      <c r="C51" s="187">
        <f t="shared" si="1"/>
        <v>36</v>
      </c>
      <c r="D51" s="184" t="s">
        <v>279</v>
      </c>
      <c r="E51" s="184" t="s">
        <v>314</v>
      </c>
      <c r="F51" s="184" t="s">
        <v>83</v>
      </c>
      <c r="G51" s="184">
        <v>1</v>
      </c>
      <c r="H51" s="184">
        <v>28</v>
      </c>
      <c r="I51" s="184">
        <v>3</v>
      </c>
      <c r="J51" s="184">
        <f t="shared" si="2"/>
        <v>32</v>
      </c>
    </row>
    <row r="52" spans="1:10" x14ac:dyDescent="0.2">
      <c r="A52" s="194">
        <v>43197</v>
      </c>
      <c r="B52" s="194">
        <v>43233</v>
      </c>
      <c r="C52" s="187">
        <f t="shared" si="1"/>
        <v>36</v>
      </c>
      <c r="D52" s="184" t="s">
        <v>280</v>
      </c>
      <c r="E52" s="184" t="s">
        <v>314</v>
      </c>
      <c r="F52" s="184" t="s">
        <v>83</v>
      </c>
      <c r="G52" s="184">
        <v>2</v>
      </c>
      <c r="H52" s="184">
        <v>24</v>
      </c>
      <c r="I52" s="184">
        <v>0</v>
      </c>
      <c r="J52" s="184">
        <f t="shared" si="2"/>
        <v>26</v>
      </c>
    </row>
    <row r="53" spans="1:10" x14ac:dyDescent="0.2">
      <c r="A53" s="194">
        <v>43197</v>
      </c>
      <c r="B53" s="194">
        <v>43233</v>
      </c>
      <c r="C53" s="187">
        <f t="shared" si="1"/>
        <v>36</v>
      </c>
      <c r="D53" s="184" t="s">
        <v>281</v>
      </c>
      <c r="E53" s="184" t="s">
        <v>313</v>
      </c>
      <c r="F53" s="184" t="s">
        <v>58</v>
      </c>
      <c r="G53" s="184">
        <v>3</v>
      </c>
      <c r="H53" s="184">
        <v>37</v>
      </c>
      <c r="I53" s="184">
        <v>2</v>
      </c>
      <c r="J53" s="184">
        <f t="shared" si="2"/>
        <v>42</v>
      </c>
    </row>
    <row r="54" spans="1:10" x14ac:dyDescent="0.2">
      <c r="A54" s="194">
        <v>43197</v>
      </c>
      <c r="B54" s="194">
        <v>43233</v>
      </c>
      <c r="C54" s="187">
        <f t="shared" si="1"/>
        <v>36</v>
      </c>
      <c r="D54" s="184" t="s">
        <v>282</v>
      </c>
      <c r="E54" s="184" t="s">
        <v>313</v>
      </c>
      <c r="F54" s="184" t="s">
        <v>58</v>
      </c>
      <c r="G54" s="184">
        <v>0</v>
      </c>
      <c r="H54" s="184">
        <v>31</v>
      </c>
      <c r="I54" s="184">
        <v>0</v>
      </c>
      <c r="J54" s="184">
        <f t="shared" si="2"/>
        <v>31</v>
      </c>
    </row>
    <row r="55" spans="1:10" x14ac:dyDescent="0.2">
      <c r="A55" s="194">
        <v>43197</v>
      </c>
      <c r="B55" s="194">
        <v>43233</v>
      </c>
      <c r="C55" s="187">
        <f t="shared" si="1"/>
        <v>36</v>
      </c>
      <c r="D55" s="184" t="s">
        <v>283</v>
      </c>
      <c r="E55" s="184" t="s">
        <v>313</v>
      </c>
      <c r="F55" s="184" t="s">
        <v>58</v>
      </c>
      <c r="G55" s="184">
        <v>2</v>
      </c>
      <c r="H55" s="184">
        <v>33</v>
      </c>
      <c r="I55" s="184">
        <v>4</v>
      </c>
      <c r="J55" s="184">
        <f t="shared" si="2"/>
        <v>39</v>
      </c>
    </row>
    <row r="56" spans="1:10" x14ac:dyDescent="0.2">
      <c r="A56" s="194">
        <v>43197</v>
      </c>
      <c r="B56" s="194">
        <v>43233</v>
      </c>
      <c r="C56" s="187">
        <f t="shared" si="1"/>
        <v>36</v>
      </c>
      <c r="D56" s="184" t="s">
        <v>284</v>
      </c>
      <c r="E56" s="184" t="s">
        <v>314</v>
      </c>
      <c r="F56" s="184" t="s">
        <v>82</v>
      </c>
      <c r="G56" s="184">
        <v>1</v>
      </c>
      <c r="H56" s="184">
        <v>10</v>
      </c>
      <c r="I56" s="184">
        <v>1</v>
      </c>
      <c r="J56" s="184">
        <f t="shared" si="2"/>
        <v>12</v>
      </c>
    </row>
    <row r="57" spans="1:10" x14ac:dyDescent="0.2">
      <c r="A57" s="194">
        <v>43197</v>
      </c>
      <c r="B57" s="194">
        <v>43233</v>
      </c>
      <c r="C57" s="187">
        <f t="shared" si="1"/>
        <v>36</v>
      </c>
      <c r="D57" s="184" t="s">
        <v>285</v>
      </c>
      <c r="E57" s="184" t="s">
        <v>314</v>
      </c>
      <c r="F57" s="184" t="s">
        <v>82</v>
      </c>
      <c r="G57" s="184">
        <v>10</v>
      </c>
      <c r="H57" s="184">
        <v>14</v>
      </c>
      <c r="I57" s="184">
        <v>0</v>
      </c>
      <c r="J57" s="184">
        <f t="shared" si="2"/>
        <v>24</v>
      </c>
    </row>
    <row r="58" spans="1:10" x14ac:dyDescent="0.2">
      <c r="A58" s="194">
        <v>43197</v>
      </c>
      <c r="B58" s="194">
        <v>43233</v>
      </c>
      <c r="C58" s="187">
        <f t="shared" si="1"/>
        <v>36</v>
      </c>
      <c r="D58" s="184" t="s">
        <v>286</v>
      </c>
      <c r="E58" s="184" t="s">
        <v>314</v>
      </c>
      <c r="F58" s="184" t="s">
        <v>82</v>
      </c>
      <c r="G58" s="184">
        <v>1</v>
      </c>
      <c r="H58" s="184">
        <v>54</v>
      </c>
      <c r="I58" s="184">
        <v>2</v>
      </c>
      <c r="J58" s="184">
        <f t="shared" si="2"/>
        <v>57</v>
      </c>
    </row>
    <row r="59" spans="1:10" x14ac:dyDescent="0.2">
      <c r="A59" s="194">
        <v>43197</v>
      </c>
      <c r="B59" s="194">
        <v>43233</v>
      </c>
      <c r="C59" s="187">
        <f t="shared" si="1"/>
        <v>36</v>
      </c>
      <c r="D59" s="184" t="s">
        <v>287</v>
      </c>
      <c r="E59" s="184" t="s">
        <v>313</v>
      </c>
      <c r="F59" s="184" t="s">
        <v>58</v>
      </c>
      <c r="G59" s="184">
        <v>4</v>
      </c>
      <c r="H59" s="184">
        <v>147</v>
      </c>
      <c r="I59" s="184">
        <v>10</v>
      </c>
      <c r="J59" s="184">
        <f t="shared" si="2"/>
        <v>161</v>
      </c>
    </row>
    <row r="60" spans="1:10" x14ac:dyDescent="0.2">
      <c r="A60" s="194">
        <v>43197</v>
      </c>
      <c r="B60" s="194">
        <v>43233</v>
      </c>
      <c r="C60" s="187">
        <f t="shared" si="1"/>
        <v>36</v>
      </c>
      <c r="D60" s="184" t="s">
        <v>289</v>
      </c>
      <c r="E60" s="184" t="s">
        <v>313</v>
      </c>
      <c r="F60" s="184" t="s">
        <v>58</v>
      </c>
      <c r="G60" s="184">
        <v>8</v>
      </c>
      <c r="H60" s="184">
        <v>133</v>
      </c>
      <c r="I60" s="184">
        <v>8</v>
      </c>
      <c r="J60" s="184">
        <f t="shared" si="2"/>
        <v>149</v>
      </c>
    </row>
    <row r="61" spans="1:10" x14ac:dyDescent="0.2">
      <c r="A61" s="194">
        <v>43197</v>
      </c>
      <c r="B61" s="194">
        <v>43233</v>
      </c>
      <c r="C61" s="187">
        <f t="shared" si="1"/>
        <v>36</v>
      </c>
      <c r="D61" s="184" t="s">
        <v>288</v>
      </c>
      <c r="E61" s="184" t="s">
        <v>313</v>
      </c>
      <c r="F61" s="184" t="s">
        <v>58</v>
      </c>
      <c r="G61" s="184">
        <v>14</v>
      </c>
      <c r="H61" s="184">
        <v>166</v>
      </c>
      <c r="I61" s="184">
        <v>21</v>
      </c>
      <c r="J61" s="184">
        <f t="shared" si="2"/>
        <v>201</v>
      </c>
    </row>
    <row r="62" spans="1:10" x14ac:dyDescent="0.2">
      <c r="A62" s="194">
        <v>43198</v>
      </c>
      <c r="B62" s="194">
        <v>43233</v>
      </c>
      <c r="C62" s="187">
        <f t="shared" si="1"/>
        <v>35</v>
      </c>
      <c r="D62" s="184" t="s">
        <v>290</v>
      </c>
      <c r="E62" s="184" t="s">
        <v>313</v>
      </c>
      <c r="F62" s="184" t="s">
        <v>60</v>
      </c>
      <c r="G62" s="184">
        <v>15</v>
      </c>
      <c r="H62" s="184">
        <v>238</v>
      </c>
      <c r="I62" s="184">
        <v>7</v>
      </c>
      <c r="J62" s="184">
        <f t="shared" si="2"/>
        <v>260</v>
      </c>
    </row>
    <row r="63" spans="1:10" x14ac:dyDescent="0.2">
      <c r="A63" s="194">
        <v>43198</v>
      </c>
      <c r="B63" s="194">
        <v>43233</v>
      </c>
      <c r="C63" s="187">
        <f t="shared" si="1"/>
        <v>35</v>
      </c>
      <c r="D63" s="184" t="s">
        <v>291</v>
      </c>
      <c r="E63" s="184" t="s">
        <v>313</v>
      </c>
      <c r="F63" s="184" t="s">
        <v>60</v>
      </c>
      <c r="G63" s="184">
        <v>12</v>
      </c>
      <c r="H63" s="184">
        <v>202</v>
      </c>
      <c r="I63" s="184">
        <v>2</v>
      </c>
      <c r="J63" s="184">
        <f t="shared" si="2"/>
        <v>216</v>
      </c>
    </row>
    <row r="64" spans="1:10" x14ac:dyDescent="0.2">
      <c r="A64" s="194">
        <v>43198</v>
      </c>
      <c r="B64" s="194">
        <v>43233</v>
      </c>
      <c r="C64" s="187">
        <f t="shared" si="1"/>
        <v>35</v>
      </c>
      <c r="D64" s="184" t="s">
        <v>292</v>
      </c>
      <c r="E64" s="184" t="s">
        <v>313</v>
      </c>
      <c r="F64" s="184" t="s">
        <v>60</v>
      </c>
      <c r="G64" s="184">
        <v>18</v>
      </c>
      <c r="H64" s="184">
        <v>195</v>
      </c>
      <c r="I64" s="184">
        <v>11</v>
      </c>
      <c r="J64" s="184">
        <f t="shared" si="2"/>
        <v>224</v>
      </c>
    </row>
    <row r="65" spans="1:10" x14ac:dyDescent="0.2">
      <c r="A65" s="194">
        <v>43198</v>
      </c>
      <c r="B65" s="194">
        <v>43233</v>
      </c>
      <c r="C65" s="187">
        <f t="shared" si="1"/>
        <v>35</v>
      </c>
      <c r="D65" s="184" t="s">
        <v>293</v>
      </c>
      <c r="E65" s="184" t="s">
        <v>312</v>
      </c>
      <c r="F65" s="184" t="s">
        <v>37</v>
      </c>
      <c r="G65" s="184">
        <v>5</v>
      </c>
      <c r="H65" s="184">
        <v>53</v>
      </c>
      <c r="I65" s="184">
        <v>2</v>
      </c>
      <c r="J65" s="184">
        <f t="shared" si="2"/>
        <v>60</v>
      </c>
    </row>
    <row r="66" spans="1:10" x14ac:dyDescent="0.2">
      <c r="A66" s="194">
        <v>43198</v>
      </c>
      <c r="B66" s="194">
        <v>43233</v>
      </c>
      <c r="C66" s="187">
        <f t="shared" si="1"/>
        <v>35</v>
      </c>
      <c r="D66" s="184" t="s">
        <v>294</v>
      </c>
      <c r="E66" s="184" t="s">
        <v>312</v>
      </c>
      <c r="F66" s="184" t="s">
        <v>37</v>
      </c>
      <c r="G66" s="184">
        <v>8</v>
      </c>
      <c r="H66" s="184">
        <v>54</v>
      </c>
      <c r="I66" s="184">
        <v>1</v>
      </c>
      <c r="J66" s="184">
        <f t="shared" ref="J66:J97" si="3">SUM(G66:I66)</f>
        <v>63</v>
      </c>
    </row>
    <row r="67" spans="1:10" x14ac:dyDescent="0.2">
      <c r="A67" s="194">
        <v>43198</v>
      </c>
      <c r="B67" s="194">
        <v>43233</v>
      </c>
      <c r="C67" s="187">
        <f t="shared" ref="C67:C130" si="4">B67-A67</f>
        <v>35</v>
      </c>
      <c r="D67" s="184" t="s">
        <v>295</v>
      </c>
      <c r="E67" s="184" t="s">
        <v>312</v>
      </c>
      <c r="F67" s="184" t="s">
        <v>37</v>
      </c>
      <c r="G67" s="184">
        <v>9</v>
      </c>
      <c r="H67" s="184">
        <v>80</v>
      </c>
      <c r="I67" s="184">
        <v>4</v>
      </c>
      <c r="J67" s="184">
        <f t="shared" si="3"/>
        <v>93</v>
      </c>
    </row>
    <row r="68" spans="1:10" x14ac:dyDescent="0.2">
      <c r="A68" s="194">
        <v>43198</v>
      </c>
      <c r="B68" s="194">
        <v>43233</v>
      </c>
      <c r="C68" s="187">
        <f t="shared" si="4"/>
        <v>35</v>
      </c>
      <c r="D68" s="184" t="s">
        <v>296</v>
      </c>
      <c r="E68" s="184" t="s">
        <v>312</v>
      </c>
      <c r="F68" s="184" t="s">
        <v>37</v>
      </c>
      <c r="G68" s="184">
        <v>4</v>
      </c>
      <c r="H68" s="184">
        <v>99</v>
      </c>
      <c r="I68" s="184">
        <v>5</v>
      </c>
      <c r="J68" s="184">
        <f t="shared" si="3"/>
        <v>108</v>
      </c>
    </row>
    <row r="69" spans="1:10" x14ac:dyDescent="0.2">
      <c r="A69" s="194">
        <v>43198</v>
      </c>
      <c r="B69" s="194">
        <v>43233</v>
      </c>
      <c r="C69" s="187">
        <f t="shared" si="4"/>
        <v>35</v>
      </c>
      <c r="D69" s="184" t="s">
        <v>298</v>
      </c>
      <c r="E69" s="184" t="s">
        <v>312</v>
      </c>
      <c r="F69" s="184" t="s">
        <v>37</v>
      </c>
      <c r="G69" s="184">
        <v>1</v>
      </c>
      <c r="H69" s="184">
        <v>55</v>
      </c>
      <c r="I69" s="184">
        <v>1</v>
      </c>
      <c r="J69" s="184">
        <f t="shared" si="3"/>
        <v>57</v>
      </c>
    </row>
    <row r="70" spans="1:10" x14ac:dyDescent="0.2">
      <c r="A70" s="194">
        <v>43198</v>
      </c>
      <c r="B70" s="194">
        <v>43233</v>
      </c>
      <c r="C70" s="187">
        <f t="shared" si="4"/>
        <v>35</v>
      </c>
      <c r="D70" s="184" t="s">
        <v>297</v>
      </c>
      <c r="E70" s="184" t="s">
        <v>312</v>
      </c>
      <c r="F70" s="184" t="s">
        <v>37</v>
      </c>
      <c r="G70" s="184">
        <v>0</v>
      </c>
      <c r="H70" s="184">
        <v>51</v>
      </c>
      <c r="I70" s="184">
        <v>2</v>
      </c>
      <c r="J70" s="184">
        <f t="shared" si="3"/>
        <v>53</v>
      </c>
    </row>
    <row r="71" spans="1:10" x14ac:dyDescent="0.2">
      <c r="A71" s="194">
        <v>43198</v>
      </c>
      <c r="B71" s="194">
        <v>43233</v>
      </c>
      <c r="C71" s="187">
        <f t="shared" si="4"/>
        <v>35</v>
      </c>
      <c r="D71" s="184" t="s">
        <v>299</v>
      </c>
      <c r="E71" s="184" t="s">
        <v>311</v>
      </c>
      <c r="F71" s="184" t="s">
        <v>29</v>
      </c>
      <c r="G71" s="184">
        <v>3</v>
      </c>
      <c r="H71" s="184">
        <v>102</v>
      </c>
      <c r="I71" s="184">
        <v>31</v>
      </c>
      <c r="J71" s="184">
        <f t="shared" si="3"/>
        <v>136</v>
      </c>
    </row>
    <row r="72" spans="1:10" x14ac:dyDescent="0.2">
      <c r="A72" s="194">
        <v>43198</v>
      </c>
      <c r="B72" s="194">
        <v>43233</v>
      </c>
      <c r="C72" s="187">
        <f t="shared" si="4"/>
        <v>35</v>
      </c>
      <c r="D72" s="184" t="s">
        <v>300</v>
      </c>
      <c r="E72" s="184" t="s">
        <v>311</v>
      </c>
      <c r="F72" s="184" t="s">
        <v>29</v>
      </c>
      <c r="G72" s="184">
        <v>0</v>
      </c>
      <c r="H72" s="184">
        <v>25</v>
      </c>
      <c r="I72" s="184">
        <v>2</v>
      </c>
      <c r="J72" s="184">
        <f t="shared" si="3"/>
        <v>27</v>
      </c>
    </row>
    <row r="73" spans="1:10" x14ac:dyDescent="0.2">
      <c r="A73" s="194">
        <v>43198</v>
      </c>
      <c r="B73" s="194">
        <v>43233</v>
      </c>
      <c r="C73" s="187">
        <f t="shared" si="4"/>
        <v>35</v>
      </c>
      <c r="D73" s="184" t="s">
        <v>301</v>
      </c>
      <c r="E73" s="184" t="s">
        <v>311</v>
      </c>
      <c r="F73" s="184" t="s">
        <v>29</v>
      </c>
      <c r="G73" s="184">
        <v>1</v>
      </c>
      <c r="H73" s="184">
        <v>3</v>
      </c>
      <c r="I73" s="184">
        <v>0</v>
      </c>
      <c r="J73" s="184">
        <f t="shared" si="3"/>
        <v>4</v>
      </c>
    </row>
    <row r="74" spans="1:10" x14ac:dyDescent="0.2">
      <c r="A74" s="194">
        <v>43198</v>
      </c>
      <c r="B74" s="194">
        <v>43233</v>
      </c>
      <c r="C74" s="187">
        <f t="shared" si="4"/>
        <v>35</v>
      </c>
      <c r="D74" s="184" t="s">
        <v>302</v>
      </c>
      <c r="E74" s="184" t="s">
        <v>314</v>
      </c>
      <c r="F74" s="184" t="s">
        <v>82</v>
      </c>
      <c r="G74" s="184">
        <v>0</v>
      </c>
      <c r="H74" s="184">
        <v>28</v>
      </c>
      <c r="I74" s="184">
        <v>3</v>
      </c>
      <c r="J74" s="184">
        <f t="shared" si="3"/>
        <v>31</v>
      </c>
    </row>
    <row r="75" spans="1:10" x14ac:dyDescent="0.2">
      <c r="A75" s="194">
        <v>43198</v>
      </c>
      <c r="B75" s="194">
        <v>43233</v>
      </c>
      <c r="C75" s="187">
        <f t="shared" si="4"/>
        <v>35</v>
      </c>
      <c r="D75" s="184" t="s">
        <v>303</v>
      </c>
      <c r="E75" s="184" t="s">
        <v>314</v>
      </c>
      <c r="F75" s="184" t="s">
        <v>82</v>
      </c>
      <c r="G75" s="184">
        <v>0</v>
      </c>
      <c r="H75" s="184">
        <v>10</v>
      </c>
      <c r="I75" s="184">
        <v>0</v>
      </c>
      <c r="J75" s="184">
        <f t="shared" si="3"/>
        <v>10</v>
      </c>
    </row>
    <row r="76" spans="1:10" x14ac:dyDescent="0.2">
      <c r="A76" s="194">
        <v>43198</v>
      </c>
      <c r="B76" s="194">
        <v>43233</v>
      </c>
      <c r="C76" s="187">
        <f t="shared" si="4"/>
        <v>35</v>
      </c>
      <c r="D76" s="184" t="s">
        <v>304</v>
      </c>
      <c r="E76" s="184" t="s">
        <v>314</v>
      </c>
      <c r="F76" s="184" t="s">
        <v>82</v>
      </c>
      <c r="G76" s="184">
        <v>1</v>
      </c>
      <c r="H76" s="184">
        <v>20</v>
      </c>
      <c r="I76" s="184">
        <v>2</v>
      </c>
      <c r="J76" s="184">
        <f t="shared" si="3"/>
        <v>23</v>
      </c>
    </row>
    <row r="77" spans="1:10" x14ac:dyDescent="0.2">
      <c r="A77" s="194">
        <v>43198</v>
      </c>
      <c r="B77" s="194">
        <v>43233</v>
      </c>
      <c r="C77" s="187">
        <f t="shared" si="4"/>
        <v>35</v>
      </c>
      <c r="D77" s="184" t="s">
        <v>305</v>
      </c>
      <c r="E77" s="184" t="s">
        <v>312</v>
      </c>
      <c r="F77" s="184" t="s">
        <v>28</v>
      </c>
      <c r="G77" s="184">
        <v>0</v>
      </c>
      <c r="H77" s="184">
        <v>44</v>
      </c>
      <c r="I77" s="184">
        <v>8</v>
      </c>
      <c r="J77" s="184">
        <f t="shared" si="3"/>
        <v>52</v>
      </c>
    </row>
    <row r="78" spans="1:10" x14ac:dyDescent="0.2">
      <c r="A78" s="194">
        <v>43198</v>
      </c>
      <c r="B78" s="194">
        <v>43233</v>
      </c>
      <c r="C78" s="187">
        <f t="shared" si="4"/>
        <v>35</v>
      </c>
      <c r="D78" s="184" t="s">
        <v>306</v>
      </c>
      <c r="E78" s="184" t="s">
        <v>312</v>
      </c>
      <c r="F78" s="184" t="s">
        <v>28</v>
      </c>
      <c r="G78" s="184">
        <v>0</v>
      </c>
      <c r="H78" s="184">
        <v>60</v>
      </c>
      <c r="I78" s="184">
        <v>5</v>
      </c>
      <c r="J78" s="184">
        <f t="shared" si="3"/>
        <v>65</v>
      </c>
    </row>
    <row r="79" spans="1:10" x14ac:dyDescent="0.2">
      <c r="A79" s="194">
        <v>43198</v>
      </c>
      <c r="B79" s="194">
        <v>43233</v>
      </c>
      <c r="C79" s="187">
        <f t="shared" si="4"/>
        <v>35</v>
      </c>
      <c r="D79" s="184" t="s">
        <v>307</v>
      </c>
      <c r="E79" s="184" t="s">
        <v>312</v>
      </c>
      <c r="F79" s="184" t="s">
        <v>28</v>
      </c>
      <c r="G79" s="184">
        <v>0</v>
      </c>
      <c r="H79" s="184">
        <v>44</v>
      </c>
      <c r="I79" s="184">
        <v>5</v>
      </c>
      <c r="J79" s="184">
        <f t="shared" si="3"/>
        <v>49</v>
      </c>
    </row>
    <row r="80" spans="1:10" x14ac:dyDescent="0.2">
      <c r="A80" s="194">
        <v>43198</v>
      </c>
      <c r="B80" s="194">
        <v>43233</v>
      </c>
      <c r="C80" s="187">
        <f t="shared" si="4"/>
        <v>35</v>
      </c>
      <c r="D80" s="184" t="s">
        <v>308</v>
      </c>
      <c r="E80" s="184" t="s">
        <v>311</v>
      </c>
      <c r="F80" s="184" t="s">
        <v>29</v>
      </c>
      <c r="G80" s="184">
        <v>14</v>
      </c>
      <c r="H80" s="184">
        <v>173</v>
      </c>
      <c r="I80" s="184">
        <v>66</v>
      </c>
      <c r="J80" s="184">
        <f t="shared" si="3"/>
        <v>253</v>
      </c>
    </row>
    <row r="81" spans="1:10" x14ac:dyDescent="0.2">
      <c r="A81" s="194">
        <v>43198</v>
      </c>
      <c r="B81" s="194">
        <v>43233</v>
      </c>
      <c r="C81" s="187">
        <f t="shared" si="4"/>
        <v>35</v>
      </c>
      <c r="D81" s="184" t="s">
        <v>309</v>
      </c>
      <c r="E81" s="184" t="s">
        <v>311</v>
      </c>
      <c r="F81" s="184" t="s">
        <v>29</v>
      </c>
      <c r="G81" s="184">
        <v>6</v>
      </c>
      <c r="H81" s="184">
        <v>161</v>
      </c>
      <c r="I81" s="184">
        <v>25</v>
      </c>
      <c r="J81" s="184">
        <f t="shared" si="3"/>
        <v>192</v>
      </c>
    </row>
    <row r="82" spans="1:10" x14ac:dyDescent="0.2">
      <c r="A82" s="194">
        <v>43198</v>
      </c>
      <c r="B82" s="194">
        <v>43233</v>
      </c>
      <c r="C82" s="187">
        <f t="shared" si="4"/>
        <v>35</v>
      </c>
      <c r="D82" s="184" t="s">
        <v>310</v>
      </c>
      <c r="E82" s="184" t="s">
        <v>311</v>
      </c>
      <c r="F82" s="184" t="s">
        <v>29</v>
      </c>
      <c r="G82" s="184">
        <v>3</v>
      </c>
      <c r="H82" s="184">
        <v>140</v>
      </c>
      <c r="I82" s="184">
        <v>18</v>
      </c>
      <c r="J82" s="184">
        <f t="shared" si="3"/>
        <v>161</v>
      </c>
    </row>
    <row r="83" spans="1:10" x14ac:dyDescent="0.2">
      <c r="A83" s="194">
        <v>43199</v>
      </c>
      <c r="B83" s="194">
        <v>43235</v>
      </c>
      <c r="C83" s="187">
        <f t="shared" si="4"/>
        <v>36</v>
      </c>
      <c r="D83" s="184" t="s">
        <v>317</v>
      </c>
      <c r="E83" s="184" t="s">
        <v>313</v>
      </c>
      <c r="F83" s="184" t="s">
        <v>58</v>
      </c>
      <c r="G83" s="184">
        <v>0</v>
      </c>
      <c r="H83" s="184">
        <v>51</v>
      </c>
      <c r="I83" s="184">
        <v>3</v>
      </c>
      <c r="J83" s="184">
        <f t="shared" si="3"/>
        <v>54</v>
      </c>
    </row>
    <row r="84" spans="1:10" x14ac:dyDescent="0.2">
      <c r="A84" s="194">
        <v>43199</v>
      </c>
      <c r="B84" s="194">
        <v>43235</v>
      </c>
      <c r="C84" s="187">
        <f t="shared" si="4"/>
        <v>36</v>
      </c>
      <c r="D84" s="184" t="s">
        <v>318</v>
      </c>
      <c r="E84" s="184" t="s">
        <v>313</v>
      </c>
      <c r="F84" s="184" t="s">
        <v>58</v>
      </c>
      <c r="G84" s="184">
        <v>0</v>
      </c>
      <c r="H84" s="184">
        <v>29</v>
      </c>
      <c r="I84" s="184">
        <v>2</v>
      </c>
      <c r="J84" s="184">
        <f t="shared" si="3"/>
        <v>31</v>
      </c>
    </row>
    <row r="85" spans="1:10" x14ac:dyDescent="0.2">
      <c r="A85" s="194">
        <v>43199</v>
      </c>
      <c r="B85" s="194">
        <v>43235</v>
      </c>
      <c r="C85" s="187">
        <f t="shared" si="4"/>
        <v>36</v>
      </c>
      <c r="D85" s="184" t="s">
        <v>319</v>
      </c>
      <c r="E85" s="184" t="s">
        <v>313</v>
      </c>
      <c r="F85" s="184" t="s">
        <v>58</v>
      </c>
      <c r="G85" s="184">
        <v>1</v>
      </c>
      <c r="H85" s="184">
        <v>17</v>
      </c>
      <c r="I85" s="184">
        <v>2</v>
      </c>
      <c r="J85" s="184">
        <f t="shared" si="3"/>
        <v>20</v>
      </c>
    </row>
    <row r="86" spans="1:10" x14ac:dyDescent="0.2">
      <c r="A86" s="194">
        <v>43199</v>
      </c>
      <c r="B86" s="194">
        <v>43235</v>
      </c>
      <c r="C86" s="187">
        <f t="shared" si="4"/>
        <v>36</v>
      </c>
      <c r="D86" s="184" t="s">
        <v>320</v>
      </c>
      <c r="E86" s="184" t="s">
        <v>314</v>
      </c>
      <c r="F86" s="184" t="s">
        <v>82</v>
      </c>
      <c r="G86" s="184">
        <v>0</v>
      </c>
      <c r="H86" s="184">
        <v>24</v>
      </c>
      <c r="I86" s="184">
        <v>9</v>
      </c>
      <c r="J86" s="184">
        <f t="shared" si="3"/>
        <v>33</v>
      </c>
    </row>
    <row r="87" spans="1:10" x14ac:dyDescent="0.2">
      <c r="A87" s="194">
        <v>43199</v>
      </c>
      <c r="B87" s="194">
        <v>43235</v>
      </c>
      <c r="C87" s="187">
        <f t="shared" si="4"/>
        <v>36</v>
      </c>
      <c r="D87" s="184" t="s">
        <v>321</v>
      </c>
      <c r="E87" s="184" t="s">
        <v>314</v>
      </c>
      <c r="F87" s="184" t="s">
        <v>82</v>
      </c>
      <c r="G87" s="184">
        <v>5</v>
      </c>
      <c r="H87" s="184">
        <v>71</v>
      </c>
      <c r="I87" s="184">
        <v>11</v>
      </c>
      <c r="J87" s="184">
        <f t="shared" si="3"/>
        <v>87</v>
      </c>
    </row>
    <row r="88" spans="1:10" x14ac:dyDescent="0.2">
      <c r="A88" s="194">
        <v>43199</v>
      </c>
      <c r="B88" s="194">
        <v>43235</v>
      </c>
      <c r="C88" s="187">
        <f t="shared" si="4"/>
        <v>36</v>
      </c>
      <c r="D88" s="184" t="s">
        <v>322</v>
      </c>
      <c r="E88" s="184" t="s">
        <v>314</v>
      </c>
      <c r="F88" s="193" t="s">
        <v>82</v>
      </c>
      <c r="G88" s="184">
        <v>13</v>
      </c>
      <c r="H88" s="184">
        <v>49</v>
      </c>
      <c r="I88" s="184">
        <v>8</v>
      </c>
      <c r="J88" s="184">
        <f t="shared" si="3"/>
        <v>70</v>
      </c>
    </row>
    <row r="89" spans="1:10" x14ac:dyDescent="0.2">
      <c r="A89" s="194">
        <v>43199</v>
      </c>
      <c r="B89" s="194">
        <v>43235</v>
      </c>
      <c r="C89" s="187">
        <f t="shared" si="4"/>
        <v>36</v>
      </c>
      <c r="D89" s="184" t="s">
        <v>323</v>
      </c>
      <c r="E89" s="184" t="s">
        <v>311</v>
      </c>
      <c r="F89" s="184" t="s">
        <v>36</v>
      </c>
      <c r="G89" s="184">
        <v>4</v>
      </c>
      <c r="H89" s="184">
        <v>39</v>
      </c>
      <c r="I89" s="184">
        <v>15</v>
      </c>
      <c r="J89" s="184">
        <f t="shared" si="3"/>
        <v>58</v>
      </c>
    </row>
    <row r="90" spans="1:10" x14ac:dyDescent="0.2">
      <c r="A90" s="194">
        <v>43199</v>
      </c>
      <c r="B90" s="194">
        <v>43235</v>
      </c>
      <c r="C90" s="187">
        <f t="shared" si="4"/>
        <v>36</v>
      </c>
      <c r="D90" s="184" t="s">
        <v>324</v>
      </c>
      <c r="E90" s="184" t="s">
        <v>311</v>
      </c>
      <c r="F90" s="184" t="s">
        <v>36</v>
      </c>
      <c r="G90" s="184">
        <v>0</v>
      </c>
      <c r="H90" s="184">
        <v>53</v>
      </c>
      <c r="I90" s="184">
        <v>3</v>
      </c>
      <c r="J90" s="184">
        <f t="shared" si="3"/>
        <v>56</v>
      </c>
    </row>
    <row r="91" spans="1:10" x14ac:dyDescent="0.2">
      <c r="A91" s="194">
        <v>43199</v>
      </c>
      <c r="B91" s="194">
        <v>43235</v>
      </c>
      <c r="C91" s="187">
        <f t="shared" si="4"/>
        <v>36</v>
      </c>
      <c r="D91" s="184" t="s">
        <v>325</v>
      </c>
      <c r="E91" s="184" t="s">
        <v>311</v>
      </c>
      <c r="F91" s="184" t="s">
        <v>36</v>
      </c>
      <c r="G91" s="184">
        <v>1</v>
      </c>
      <c r="H91" s="184">
        <v>51</v>
      </c>
      <c r="I91" s="184">
        <v>16</v>
      </c>
      <c r="J91" s="184">
        <f t="shared" si="3"/>
        <v>68</v>
      </c>
    </row>
    <row r="92" spans="1:10" x14ac:dyDescent="0.2">
      <c r="A92" s="194">
        <v>43199</v>
      </c>
      <c r="B92" s="194">
        <v>43235</v>
      </c>
      <c r="C92" s="187">
        <f t="shared" si="4"/>
        <v>36</v>
      </c>
      <c r="D92" s="184" t="s">
        <v>326</v>
      </c>
      <c r="E92" s="184" t="s">
        <v>314</v>
      </c>
      <c r="F92" s="184" t="s">
        <v>83</v>
      </c>
      <c r="G92" s="184">
        <v>2</v>
      </c>
      <c r="H92" s="184">
        <v>2</v>
      </c>
      <c r="I92" s="184">
        <v>6</v>
      </c>
      <c r="J92" s="184">
        <f t="shared" si="3"/>
        <v>10</v>
      </c>
    </row>
    <row r="93" spans="1:10" x14ac:dyDescent="0.2">
      <c r="A93" s="194">
        <v>43199</v>
      </c>
      <c r="B93" s="194">
        <v>43235</v>
      </c>
      <c r="C93" s="187">
        <f t="shared" si="4"/>
        <v>36</v>
      </c>
      <c r="D93" s="184" t="s">
        <v>327</v>
      </c>
      <c r="E93" s="184" t="s">
        <v>314</v>
      </c>
      <c r="F93" s="184" t="s">
        <v>83</v>
      </c>
      <c r="G93" s="184">
        <v>0</v>
      </c>
      <c r="H93" s="184">
        <v>4</v>
      </c>
      <c r="I93" s="184">
        <v>0</v>
      </c>
      <c r="J93" s="184">
        <f t="shared" si="3"/>
        <v>4</v>
      </c>
    </row>
    <row r="94" spans="1:10" x14ac:dyDescent="0.2">
      <c r="A94" s="194">
        <v>43199</v>
      </c>
      <c r="B94" s="194">
        <v>43235</v>
      </c>
      <c r="C94" s="187">
        <f t="shared" si="4"/>
        <v>36</v>
      </c>
      <c r="D94" s="184" t="s">
        <v>328</v>
      </c>
      <c r="E94" s="184" t="s">
        <v>314</v>
      </c>
      <c r="F94" s="184" t="s">
        <v>83</v>
      </c>
      <c r="G94" s="184">
        <v>1</v>
      </c>
      <c r="H94" s="184">
        <v>24</v>
      </c>
      <c r="I94" s="184">
        <v>7</v>
      </c>
      <c r="J94" s="184">
        <f t="shared" si="3"/>
        <v>32</v>
      </c>
    </row>
    <row r="95" spans="1:10" x14ac:dyDescent="0.2">
      <c r="A95" s="194">
        <v>43199</v>
      </c>
      <c r="B95" s="194">
        <v>43235</v>
      </c>
      <c r="C95" s="187">
        <f t="shared" si="4"/>
        <v>36</v>
      </c>
      <c r="D95" s="184" t="s">
        <v>329</v>
      </c>
      <c r="E95" s="184" t="s">
        <v>313</v>
      </c>
      <c r="F95" s="184" t="s">
        <v>60</v>
      </c>
      <c r="G95" s="184">
        <v>0</v>
      </c>
      <c r="H95" s="184">
        <v>18</v>
      </c>
      <c r="I95" s="184">
        <v>1</v>
      </c>
      <c r="J95" s="184">
        <f t="shared" si="3"/>
        <v>19</v>
      </c>
    </row>
    <row r="96" spans="1:10" x14ac:dyDescent="0.2">
      <c r="A96" s="194">
        <v>43199</v>
      </c>
      <c r="B96" s="194">
        <v>43235</v>
      </c>
      <c r="C96" s="187">
        <f t="shared" si="4"/>
        <v>36</v>
      </c>
      <c r="D96" s="184" t="s">
        <v>330</v>
      </c>
      <c r="E96" s="184" t="s">
        <v>313</v>
      </c>
      <c r="F96" s="184" t="s">
        <v>60</v>
      </c>
      <c r="G96" s="184">
        <v>1</v>
      </c>
      <c r="H96" s="184">
        <v>43</v>
      </c>
      <c r="I96" s="184">
        <v>1</v>
      </c>
      <c r="J96" s="184">
        <f t="shared" si="3"/>
        <v>45</v>
      </c>
    </row>
    <row r="97" spans="1:10" x14ac:dyDescent="0.2">
      <c r="A97" s="194">
        <v>43199</v>
      </c>
      <c r="B97" s="194">
        <v>43235</v>
      </c>
      <c r="C97" s="187">
        <f t="shared" si="4"/>
        <v>36</v>
      </c>
      <c r="D97" s="184" t="s">
        <v>331</v>
      </c>
      <c r="E97" s="184" t="s">
        <v>313</v>
      </c>
      <c r="F97" s="184" t="s">
        <v>60</v>
      </c>
      <c r="G97" s="184">
        <v>0</v>
      </c>
      <c r="H97" s="184">
        <v>95</v>
      </c>
      <c r="I97" s="184">
        <v>7</v>
      </c>
      <c r="J97" s="184">
        <f t="shared" si="3"/>
        <v>102</v>
      </c>
    </row>
    <row r="98" spans="1:10" x14ac:dyDescent="0.2">
      <c r="A98" s="194">
        <v>43200</v>
      </c>
      <c r="B98" s="194">
        <v>43235</v>
      </c>
      <c r="C98" s="187">
        <f t="shared" si="4"/>
        <v>35</v>
      </c>
      <c r="D98" s="184" t="s">
        <v>332</v>
      </c>
      <c r="E98" s="184" t="s">
        <v>314</v>
      </c>
      <c r="F98" s="184" t="s">
        <v>82</v>
      </c>
      <c r="G98" s="184">
        <v>3</v>
      </c>
      <c r="H98" s="184">
        <v>16</v>
      </c>
      <c r="I98" s="184">
        <v>2</v>
      </c>
      <c r="J98" s="184">
        <f t="shared" ref="J98:J129" si="5">SUM(G98:I98)</f>
        <v>21</v>
      </c>
    </row>
    <row r="99" spans="1:10" x14ac:dyDescent="0.2">
      <c r="A99" s="194">
        <v>43200</v>
      </c>
      <c r="B99" s="194">
        <v>43235</v>
      </c>
      <c r="C99" s="187">
        <f t="shared" si="4"/>
        <v>35</v>
      </c>
      <c r="D99" s="184" t="s">
        <v>333</v>
      </c>
      <c r="E99" s="184" t="s">
        <v>314</v>
      </c>
      <c r="F99" s="184" t="s">
        <v>82</v>
      </c>
      <c r="G99" s="184">
        <v>0</v>
      </c>
      <c r="H99" s="184">
        <v>35</v>
      </c>
      <c r="I99" s="184">
        <v>2</v>
      </c>
      <c r="J99" s="184">
        <f t="shared" si="5"/>
        <v>37</v>
      </c>
    </row>
    <row r="100" spans="1:10" x14ac:dyDescent="0.2">
      <c r="A100" s="194">
        <v>43200</v>
      </c>
      <c r="B100" s="194">
        <v>43235</v>
      </c>
      <c r="C100" s="187">
        <f t="shared" si="4"/>
        <v>35</v>
      </c>
      <c r="D100" s="184" t="s">
        <v>334</v>
      </c>
      <c r="E100" s="184" t="s">
        <v>314</v>
      </c>
      <c r="F100" s="184" t="s">
        <v>82</v>
      </c>
      <c r="G100" s="184">
        <v>0</v>
      </c>
      <c r="H100" s="184">
        <v>60</v>
      </c>
      <c r="I100" s="184">
        <v>6</v>
      </c>
      <c r="J100" s="184">
        <f t="shared" si="5"/>
        <v>66</v>
      </c>
    </row>
    <row r="101" spans="1:10" x14ac:dyDescent="0.2">
      <c r="A101" s="194">
        <v>43200</v>
      </c>
      <c r="B101" s="194">
        <v>43235</v>
      </c>
      <c r="C101" s="187">
        <f t="shared" si="4"/>
        <v>35</v>
      </c>
      <c r="D101" s="184" t="s">
        <v>374</v>
      </c>
      <c r="E101" s="184" t="s">
        <v>311</v>
      </c>
      <c r="F101" s="184" t="s">
        <v>29</v>
      </c>
      <c r="G101" s="184">
        <v>0</v>
      </c>
      <c r="H101" s="186">
        <v>59</v>
      </c>
      <c r="I101" s="186">
        <v>3</v>
      </c>
      <c r="J101" s="186">
        <f t="shared" si="5"/>
        <v>62</v>
      </c>
    </row>
    <row r="102" spans="1:10" x14ac:dyDescent="0.2">
      <c r="A102" s="194">
        <v>43200</v>
      </c>
      <c r="B102" s="194">
        <v>43235</v>
      </c>
      <c r="C102" s="187">
        <f t="shared" si="4"/>
        <v>35</v>
      </c>
      <c r="D102" s="184" t="s">
        <v>375</v>
      </c>
      <c r="E102" s="184" t="s">
        <v>311</v>
      </c>
      <c r="F102" s="184" t="s">
        <v>29</v>
      </c>
      <c r="G102" s="184">
        <v>1</v>
      </c>
      <c r="H102" s="186">
        <v>104</v>
      </c>
      <c r="I102" s="186">
        <v>3</v>
      </c>
      <c r="J102" s="186">
        <f t="shared" si="5"/>
        <v>108</v>
      </c>
    </row>
    <row r="103" spans="1:10" x14ac:dyDescent="0.2">
      <c r="A103" s="194">
        <v>43200</v>
      </c>
      <c r="B103" s="194">
        <v>43235</v>
      </c>
      <c r="C103" s="187">
        <f t="shared" si="4"/>
        <v>35</v>
      </c>
      <c r="D103" s="184" t="s">
        <v>376</v>
      </c>
      <c r="E103" s="184" t="s">
        <v>311</v>
      </c>
      <c r="F103" s="184" t="s">
        <v>29</v>
      </c>
      <c r="G103" s="184">
        <v>2</v>
      </c>
      <c r="H103" s="186">
        <v>48</v>
      </c>
      <c r="I103" s="186">
        <v>4</v>
      </c>
      <c r="J103" s="186">
        <f t="shared" si="5"/>
        <v>54</v>
      </c>
    </row>
    <row r="104" spans="1:10" x14ac:dyDescent="0.2">
      <c r="A104" s="194">
        <v>43200</v>
      </c>
      <c r="B104" s="194">
        <v>43235</v>
      </c>
      <c r="C104" s="187">
        <f t="shared" si="4"/>
        <v>35</v>
      </c>
      <c r="D104" s="184" t="s">
        <v>377</v>
      </c>
      <c r="E104" s="184" t="s">
        <v>312</v>
      </c>
      <c r="F104" s="184" t="s">
        <v>28</v>
      </c>
      <c r="G104" s="184">
        <v>0</v>
      </c>
      <c r="H104" s="186">
        <v>14</v>
      </c>
      <c r="I104" s="186">
        <v>0</v>
      </c>
      <c r="J104" s="186">
        <f t="shared" si="5"/>
        <v>14</v>
      </c>
    </row>
    <row r="105" spans="1:10" x14ac:dyDescent="0.2">
      <c r="A105" s="194">
        <v>43200</v>
      </c>
      <c r="B105" s="194">
        <v>43235</v>
      </c>
      <c r="C105" s="187">
        <f t="shared" si="4"/>
        <v>35</v>
      </c>
      <c r="D105" s="184" t="s">
        <v>378</v>
      </c>
      <c r="E105" s="184" t="s">
        <v>312</v>
      </c>
      <c r="F105" s="184" t="s">
        <v>28</v>
      </c>
      <c r="G105" s="184">
        <v>0</v>
      </c>
      <c r="H105" s="186">
        <v>16</v>
      </c>
      <c r="I105" s="186">
        <v>3</v>
      </c>
      <c r="J105" s="186">
        <f t="shared" si="5"/>
        <v>19</v>
      </c>
    </row>
    <row r="106" spans="1:10" x14ac:dyDescent="0.2">
      <c r="A106" s="194">
        <v>43200</v>
      </c>
      <c r="B106" s="194">
        <v>43235</v>
      </c>
      <c r="C106" s="187">
        <f t="shared" si="4"/>
        <v>35</v>
      </c>
      <c r="D106" s="184" t="s">
        <v>379</v>
      </c>
      <c r="E106" s="184" t="s">
        <v>312</v>
      </c>
      <c r="F106" s="184" t="s">
        <v>28</v>
      </c>
      <c r="G106" s="184">
        <v>3</v>
      </c>
      <c r="H106" s="186">
        <v>53</v>
      </c>
      <c r="I106" s="186">
        <v>10</v>
      </c>
      <c r="J106" s="186">
        <f t="shared" si="5"/>
        <v>66</v>
      </c>
    </row>
    <row r="107" spans="1:10" x14ac:dyDescent="0.2">
      <c r="A107" s="194">
        <v>43201</v>
      </c>
      <c r="B107" s="194">
        <v>43240</v>
      </c>
      <c r="C107" s="187">
        <f t="shared" si="4"/>
        <v>39</v>
      </c>
      <c r="D107" s="184" t="s">
        <v>335</v>
      </c>
      <c r="E107" s="184" t="s">
        <v>311</v>
      </c>
      <c r="F107" s="184" t="s">
        <v>36</v>
      </c>
      <c r="G107" s="184">
        <v>24</v>
      </c>
      <c r="H107" s="184">
        <v>77</v>
      </c>
      <c r="I107" s="184">
        <v>5</v>
      </c>
      <c r="J107" s="184">
        <f t="shared" si="5"/>
        <v>106</v>
      </c>
    </row>
    <row r="108" spans="1:10" x14ac:dyDescent="0.2">
      <c r="A108" s="194">
        <v>43201</v>
      </c>
      <c r="B108" s="194">
        <v>43240</v>
      </c>
      <c r="C108" s="187">
        <f t="shared" si="4"/>
        <v>39</v>
      </c>
      <c r="D108" s="184" t="s">
        <v>336</v>
      </c>
      <c r="E108" s="184" t="s">
        <v>311</v>
      </c>
      <c r="F108" s="184" t="s">
        <v>36</v>
      </c>
      <c r="G108" s="184">
        <v>3</v>
      </c>
      <c r="H108" s="184">
        <v>146</v>
      </c>
      <c r="I108" s="184">
        <v>8</v>
      </c>
      <c r="J108" s="184">
        <f t="shared" si="5"/>
        <v>157</v>
      </c>
    </row>
    <row r="109" spans="1:10" x14ac:dyDescent="0.2">
      <c r="A109" s="194">
        <v>43201</v>
      </c>
      <c r="B109" s="194">
        <v>43240</v>
      </c>
      <c r="C109" s="187">
        <f t="shared" si="4"/>
        <v>39</v>
      </c>
      <c r="D109" s="184" t="s">
        <v>337</v>
      </c>
      <c r="E109" s="184" t="s">
        <v>311</v>
      </c>
      <c r="F109" s="184" t="s">
        <v>36</v>
      </c>
      <c r="G109" s="184">
        <v>11</v>
      </c>
      <c r="H109" s="184">
        <v>188</v>
      </c>
      <c r="I109" s="184">
        <v>13</v>
      </c>
      <c r="J109" s="184">
        <f t="shared" si="5"/>
        <v>212</v>
      </c>
    </row>
    <row r="110" spans="1:10" x14ac:dyDescent="0.2">
      <c r="A110" s="194">
        <v>43202</v>
      </c>
      <c r="B110" s="194">
        <v>43240</v>
      </c>
      <c r="C110" s="187">
        <f t="shared" si="4"/>
        <v>38</v>
      </c>
      <c r="D110" s="184" t="s">
        <v>338</v>
      </c>
      <c r="E110" s="184" t="s">
        <v>311</v>
      </c>
      <c r="F110" s="184" t="s">
        <v>29</v>
      </c>
      <c r="G110" s="184">
        <v>0</v>
      </c>
      <c r="H110" s="184">
        <v>1</v>
      </c>
      <c r="I110" s="184">
        <v>1</v>
      </c>
      <c r="J110" s="184">
        <f t="shared" si="5"/>
        <v>2</v>
      </c>
    </row>
    <row r="111" spans="1:10" x14ac:dyDescent="0.2">
      <c r="A111" s="194">
        <v>43202</v>
      </c>
      <c r="B111" s="194">
        <v>43240</v>
      </c>
      <c r="C111" s="187">
        <f t="shared" si="4"/>
        <v>38</v>
      </c>
      <c r="D111" s="184" t="s">
        <v>339</v>
      </c>
      <c r="E111" s="184" t="s">
        <v>311</v>
      </c>
      <c r="F111" s="184" t="s">
        <v>29</v>
      </c>
      <c r="G111" s="184">
        <v>0</v>
      </c>
      <c r="H111" s="184">
        <v>0</v>
      </c>
      <c r="I111" s="184">
        <v>0</v>
      </c>
      <c r="J111" s="184">
        <f t="shared" si="5"/>
        <v>0</v>
      </c>
    </row>
    <row r="112" spans="1:10" x14ac:dyDescent="0.2">
      <c r="A112" s="194">
        <v>43202</v>
      </c>
      <c r="B112" s="194">
        <v>43240</v>
      </c>
      <c r="C112" s="187">
        <f t="shared" si="4"/>
        <v>38</v>
      </c>
      <c r="D112" s="184" t="s">
        <v>340</v>
      </c>
      <c r="E112" s="184" t="s">
        <v>311</v>
      </c>
      <c r="F112" s="184" t="s">
        <v>29</v>
      </c>
      <c r="G112" s="184">
        <v>1</v>
      </c>
      <c r="H112" s="184">
        <v>2</v>
      </c>
      <c r="I112" s="184">
        <v>4</v>
      </c>
      <c r="J112" s="184">
        <f t="shared" si="5"/>
        <v>7</v>
      </c>
    </row>
    <row r="113" spans="1:10" x14ac:dyDescent="0.2">
      <c r="A113" s="194">
        <v>43202</v>
      </c>
      <c r="B113" s="194">
        <v>43240</v>
      </c>
      <c r="C113" s="187">
        <f t="shared" si="4"/>
        <v>38</v>
      </c>
      <c r="D113" s="184" t="s">
        <v>341</v>
      </c>
      <c r="E113" s="184" t="s">
        <v>312</v>
      </c>
      <c r="F113" s="184" t="s">
        <v>37</v>
      </c>
      <c r="G113" s="184">
        <v>174</v>
      </c>
      <c r="H113" s="184">
        <v>171</v>
      </c>
      <c r="I113" s="184">
        <v>52</v>
      </c>
      <c r="J113" s="184">
        <f t="shared" si="5"/>
        <v>397</v>
      </c>
    </row>
    <row r="114" spans="1:10" x14ac:dyDescent="0.2">
      <c r="A114" s="194">
        <v>43202</v>
      </c>
      <c r="B114" s="194">
        <v>43240</v>
      </c>
      <c r="C114" s="187">
        <f t="shared" si="4"/>
        <v>38</v>
      </c>
      <c r="D114" s="184" t="s">
        <v>342</v>
      </c>
      <c r="E114" s="184" t="s">
        <v>312</v>
      </c>
      <c r="F114" s="184" t="s">
        <v>37</v>
      </c>
      <c r="G114" s="184">
        <v>104</v>
      </c>
      <c r="H114" s="184">
        <v>189</v>
      </c>
      <c r="I114" s="184">
        <v>100</v>
      </c>
      <c r="J114" s="184">
        <f t="shared" si="5"/>
        <v>393</v>
      </c>
    </row>
    <row r="115" spans="1:10" x14ac:dyDescent="0.2">
      <c r="A115" s="194">
        <v>43202</v>
      </c>
      <c r="B115" s="194">
        <v>43240</v>
      </c>
      <c r="C115" s="187">
        <f t="shared" si="4"/>
        <v>38</v>
      </c>
      <c r="D115" s="184" t="s">
        <v>343</v>
      </c>
      <c r="E115" s="184" t="s">
        <v>312</v>
      </c>
      <c r="F115" s="184" t="s">
        <v>37</v>
      </c>
      <c r="G115" s="184">
        <v>116</v>
      </c>
      <c r="H115" s="184">
        <v>144</v>
      </c>
      <c r="I115" s="184">
        <v>57</v>
      </c>
      <c r="J115" s="184">
        <f t="shared" si="5"/>
        <v>317</v>
      </c>
    </row>
    <row r="116" spans="1:10" x14ac:dyDescent="0.2">
      <c r="A116" s="194">
        <v>43203</v>
      </c>
      <c r="B116" s="194">
        <v>43240</v>
      </c>
      <c r="C116" s="187">
        <f t="shared" si="4"/>
        <v>37</v>
      </c>
      <c r="D116" s="184" t="s">
        <v>344</v>
      </c>
      <c r="E116" s="184" t="s">
        <v>313</v>
      </c>
      <c r="F116" s="184" t="s">
        <v>58</v>
      </c>
      <c r="G116" s="184">
        <v>1</v>
      </c>
      <c r="H116" s="184">
        <v>19</v>
      </c>
      <c r="I116" s="184">
        <v>0</v>
      </c>
      <c r="J116" s="184">
        <f t="shared" si="5"/>
        <v>20</v>
      </c>
    </row>
    <row r="117" spans="1:10" x14ac:dyDescent="0.2">
      <c r="A117" s="194">
        <v>43203</v>
      </c>
      <c r="B117" s="194">
        <v>43240</v>
      </c>
      <c r="C117" s="187">
        <f t="shared" si="4"/>
        <v>37</v>
      </c>
      <c r="D117" s="184" t="s">
        <v>345</v>
      </c>
      <c r="E117" s="184" t="s">
        <v>313</v>
      </c>
      <c r="F117" s="184" t="s">
        <v>58</v>
      </c>
      <c r="G117" s="184">
        <v>0</v>
      </c>
      <c r="H117" s="184">
        <v>9</v>
      </c>
      <c r="I117" s="184">
        <v>1</v>
      </c>
      <c r="J117" s="184">
        <f t="shared" si="5"/>
        <v>10</v>
      </c>
    </row>
    <row r="118" spans="1:10" x14ac:dyDescent="0.2">
      <c r="A118" s="194">
        <v>43203</v>
      </c>
      <c r="B118" s="194">
        <v>43240</v>
      </c>
      <c r="C118" s="187">
        <f t="shared" si="4"/>
        <v>37</v>
      </c>
      <c r="D118" s="184" t="s">
        <v>346</v>
      </c>
      <c r="E118" s="184" t="s">
        <v>313</v>
      </c>
      <c r="F118" s="184" t="s">
        <v>58</v>
      </c>
      <c r="G118" s="184">
        <v>1</v>
      </c>
      <c r="H118" s="184">
        <v>21</v>
      </c>
      <c r="I118" s="184">
        <v>0</v>
      </c>
      <c r="J118" s="184">
        <f t="shared" si="5"/>
        <v>22</v>
      </c>
    </row>
    <row r="119" spans="1:10" x14ac:dyDescent="0.2">
      <c r="A119" s="194">
        <v>43203</v>
      </c>
      <c r="B119" s="194">
        <v>43240</v>
      </c>
      <c r="C119" s="187">
        <f t="shared" si="4"/>
        <v>37</v>
      </c>
      <c r="D119" s="184" t="s">
        <v>347</v>
      </c>
      <c r="E119" s="184" t="s">
        <v>312</v>
      </c>
      <c r="F119" s="184" t="s">
        <v>28</v>
      </c>
      <c r="G119" s="184">
        <v>1</v>
      </c>
      <c r="H119" s="184">
        <v>51</v>
      </c>
      <c r="I119" s="184">
        <v>7</v>
      </c>
      <c r="J119" s="184">
        <f t="shared" si="5"/>
        <v>59</v>
      </c>
    </row>
    <row r="120" spans="1:10" x14ac:dyDescent="0.2">
      <c r="A120" s="194">
        <v>43203</v>
      </c>
      <c r="B120" s="194">
        <v>43240</v>
      </c>
      <c r="C120" s="187">
        <f t="shared" si="4"/>
        <v>37</v>
      </c>
      <c r="D120" s="184" t="s">
        <v>348</v>
      </c>
      <c r="E120" s="184" t="s">
        <v>312</v>
      </c>
      <c r="F120" s="184" t="s">
        <v>28</v>
      </c>
      <c r="G120" s="184">
        <v>2</v>
      </c>
      <c r="H120" s="184">
        <v>116</v>
      </c>
      <c r="I120" s="184">
        <v>11</v>
      </c>
      <c r="J120" s="184">
        <f t="shared" si="5"/>
        <v>129</v>
      </c>
    </row>
    <row r="121" spans="1:10" x14ac:dyDescent="0.2">
      <c r="A121" s="194">
        <v>43203</v>
      </c>
      <c r="B121" s="194">
        <v>43240</v>
      </c>
      <c r="C121" s="187">
        <f t="shared" si="4"/>
        <v>37</v>
      </c>
      <c r="D121" s="184" t="s">
        <v>349</v>
      </c>
      <c r="E121" s="184" t="s">
        <v>312</v>
      </c>
      <c r="F121" s="184" t="s">
        <v>28</v>
      </c>
      <c r="G121" s="184">
        <v>3</v>
      </c>
      <c r="H121" s="184">
        <v>57</v>
      </c>
      <c r="I121" s="184">
        <v>1</v>
      </c>
      <c r="J121" s="184">
        <f t="shared" si="5"/>
        <v>61</v>
      </c>
    </row>
    <row r="122" spans="1:10" x14ac:dyDescent="0.2">
      <c r="A122" s="194">
        <v>43203</v>
      </c>
      <c r="B122" s="194">
        <v>43240</v>
      </c>
      <c r="C122" s="187">
        <f t="shared" si="4"/>
        <v>37</v>
      </c>
      <c r="D122" s="184" t="s">
        <v>350</v>
      </c>
      <c r="E122" s="184" t="s">
        <v>313</v>
      </c>
      <c r="F122" s="184" t="s">
        <v>60</v>
      </c>
      <c r="G122" s="184">
        <v>0</v>
      </c>
      <c r="H122" s="184">
        <v>20</v>
      </c>
      <c r="I122" s="184">
        <v>1</v>
      </c>
      <c r="J122" s="184">
        <f t="shared" si="5"/>
        <v>21</v>
      </c>
    </row>
    <row r="123" spans="1:10" x14ac:dyDescent="0.2">
      <c r="A123" s="194">
        <v>43203</v>
      </c>
      <c r="B123" s="194">
        <v>43240</v>
      </c>
      <c r="C123" s="187">
        <f t="shared" si="4"/>
        <v>37</v>
      </c>
      <c r="D123" s="184" t="s">
        <v>351</v>
      </c>
      <c r="E123" s="184" t="s">
        <v>313</v>
      </c>
      <c r="F123" s="193" t="s">
        <v>60</v>
      </c>
      <c r="G123" s="184">
        <v>7</v>
      </c>
      <c r="H123" s="184">
        <v>80</v>
      </c>
      <c r="I123" s="184">
        <v>13</v>
      </c>
      <c r="J123" s="184">
        <f t="shared" si="5"/>
        <v>100</v>
      </c>
    </row>
    <row r="124" spans="1:10" x14ac:dyDescent="0.2">
      <c r="A124" s="194">
        <v>43203</v>
      </c>
      <c r="B124" s="194">
        <v>43240</v>
      </c>
      <c r="C124" s="187">
        <f t="shared" si="4"/>
        <v>37</v>
      </c>
      <c r="D124" s="184" t="s">
        <v>352</v>
      </c>
      <c r="E124" s="184" t="s">
        <v>313</v>
      </c>
      <c r="F124" s="193" t="s">
        <v>60</v>
      </c>
      <c r="G124" s="184">
        <v>0</v>
      </c>
      <c r="H124" s="184">
        <v>48</v>
      </c>
      <c r="I124" s="184">
        <v>1</v>
      </c>
      <c r="J124" s="184">
        <f t="shared" si="5"/>
        <v>49</v>
      </c>
    </row>
    <row r="125" spans="1:10" x14ac:dyDescent="0.2">
      <c r="A125" s="194">
        <v>43204</v>
      </c>
      <c r="B125" s="194">
        <v>43240</v>
      </c>
      <c r="C125" s="187">
        <f t="shared" si="4"/>
        <v>36</v>
      </c>
      <c r="D125" s="184" t="s">
        <v>353</v>
      </c>
      <c r="E125" s="184" t="s">
        <v>312</v>
      </c>
      <c r="F125" s="184" t="s">
        <v>37</v>
      </c>
      <c r="G125" s="184">
        <v>0</v>
      </c>
      <c r="H125" s="184">
        <v>17</v>
      </c>
      <c r="I125" s="184">
        <v>2</v>
      </c>
      <c r="J125" s="184">
        <f t="shared" si="5"/>
        <v>19</v>
      </c>
    </row>
    <row r="126" spans="1:10" x14ac:dyDescent="0.2">
      <c r="A126" s="194">
        <v>43204</v>
      </c>
      <c r="B126" s="194">
        <v>43240</v>
      </c>
      <c r="C126" s="187">
        <f t="shared" si="4"/>
        <v>36</v>
      </c>
      <c r="D126" s="184" t="s">
        <v>354</v>
      </c>
      <c r="E126" s="184" t="s">
        <v>312</v>
      </c>
      <c r="F126" s="184" t="s">
        <v>37</v>
      </c>
      <c r="G126" s="184">
        <v>16</v>
      </c>
      <c r="H126" s="184">
        <v>80</v>
      </c>
      <c r="I126" s="184">
        <v>6</v>
      </c>
      <c r="J126" s="184">
        <f t="shared" si="5"/>
        <v>102</v>
      </c>
    </row>
    <row r="127" spans="1:10" x14ac:dyDescent="0.2">
      <c r="A127" s="194">
        <v>43204</v>
      </c>
      <c r="B127" s="194">
        <v>43240</v>
      </c>
      <c r="C127" s="187">
        <f t="shared" si="4"/>
        <v>36</v>
      </c>
      <c r="D127" s="184" t="s">
        <v>355</v>
      </c>
      <c r="E127" s="184" t="s">
        <v>312</v>
      </c>
      <c r="F127" s="184" t="s">
        <v>37</v>
      </c>
      <c r="G127" s="184">
        <v>1</v>
      </c>
      <c r="H127" s="184">
        <v>87</v>
      </c>
      <c r="I127" s="184">
        <v>3</v>
      </c>
      <c r="J127" s="184">
        <f t="shared" si="5"/>
        <v>91</v>
      </c>
    </row>
    <row r="128" spans="1:10" x14ac:dyDescent="0.2">
      <c r="A128" s="194">
        <v>43204</v>
      </c>
      <c r="B128" s="194">
        <v>43240</v>
      </c>
      <c r="C128" s="187">
        <f t="shared" si="4"/>
        <v>36</v>
      </c>
      <c r="D128" s="184" t="s">
        <v>356</v>
      </c>
      <c r="E128" s="184" t="s">
        <v>314</v>
      </c>
      <c r="F128" s="184" t="s">
        <v>82</v>
      </c>
      <c r="G128" s="184">
        <v>0</v>
      </c>
      <c r="H128" s="184">
        <v>7</v>
      </c>
      <c r="I128" s="184">
        <v>0</v>
      </c>
      <c r="J128" s="184">
        <f t="shared" si="5"/>
        <v>7</v>
      </c>
    </row>
    <row r="129" spans="1:10" x14ac:dyDescent="0.2">
      <c r="A129" s="194">
        <v>43204</v>
      </c>
      <c r="B129" s="194">
        <v>43240</v>
      </c>
      <c r="C129" s="187">
        <f t="shared" si="4"/>
        <v>36</v>
      </c>
      <c r="D129" s="184" t="s">
        <v>357</v>
      </c>
      <c r="E129" s="184" t="s">
        <v>314</v>
      </c>
      <c r="F129" s="184" t="s">
        <v>82</v>
      </c>
      <c r="G129" s="184">
        <v>1</v>
      </c>
      <c r="H129" s="184">
        <v>5</v>
      </c>
      <c r="I129" s="184">
        <v>5</v>
      </c>
      <c r="J129" s="184">
        <f t="shared" si="5"/>
        <v>11</v>
      </c>
    </row>
    <row r="130" spans="1:10" x14ac:dyDescent="0.2">
      <c r="A130" s="194">
        <v>43204</v>
      </c>
      <c r="B130" s="194">
        <v>43240</v>
      </c>
      <c r="C130" s="187">
        <f t="shared" si="4"/>
        <v>36</v>
      </c>
      <c r="D130" s="184" t="s">
        <v>358</v>
      </c>
      <c r="E130" s="184" t="s">
        <v>314</v>
      </c>
      <c r="F130" s="184" t="s">
        <v>82</v>
      </c>
      <c r="G130" s="184">
        <v>2</v>
      </c>
      <c r="H130" s="184">
        <v>30</v>
      </c>
      <c r="I130" s="184">
        <v>0</v>
      </c>
      <c r="J130" s="184">
        <f t="shared" ref="J130:J145" si="6">SUM(G130:I130)</f>
        <v>32</v>
      </c>
    </row>
    <row r="131" spans="1:10" x14ac:dyDescent="0.2">
      <c r="A131" s="194">
        <v>43204</v>
      </c>
      <c r="B131" s="194">
        <v>43243</v>
      </c>
      <c r="C131" s="187">
        <f t="shared" ref="C131:C145" si="7">B131-A131</f>
        <v>39</v>
      </c>
      <c r="D131" s="184" t="s">
        <v>359</v>
      </c>
      <c r="E131" s="184" t="s">
        <v>314</v>
      </c>
      <c r="F131" s="184" t="s">
        <v>83</v>
      </c>
      <c r="G131" s="184">
        <v>5</v>
      </c>
      <c r="H131" s="184">
        <v>37</v>
      </c>
      <c r="I131" s="184">
        <v>9</v>
      </c>
      <c r="J131" s="184">
        <f t="shared" si="6"/>
        <v>51</v>
      </c>
    </row>
    <row r="132" spans="1:10" x14ac:dyDescent="0.2">
      <c r="A132" s="194">
        <v>43204</v>
      </c>
      <c r="B132" s="194">
        <v>43243</v>
      </c>
      <c r="C132" s="187">
        <f t="shared" si="7"/>
        <v>39</v>
      </c>
      <c r="D132" s="184" t="s">
        <v>360</v>
      </c>
      <c r="E132" s="184" t="s">
        <v>314</v>
      </c>
      <c r="F132" s="184" t="s">
        <v>83</v>
      </c>
      <c r="G132" s="184">
        <v>23</v>
      </c>
      <c r="H132" s="184">
        <v>68</v>
      </c>
      <c r="I132" s="184">
        <v>6</v>
      </c>
      <c r="J132" s="184">
        <f t="shared" si="6"/>
        <v>97</v>
      </c>
    </row>
    <row r="133" spans="1:10" x14ac:dyDescent="0.2">
      <c r="A133" s="194">
        <v>43204</v>
      </c>
      <c r="B133" s="194">
        <v>43243</v>
      </c>
      <c r="C133" s="187">
        <f t="shared" si="7"/>
        <v>39</v>
      </c>
      <c r="D133" s="184" t="s">
        <v>361</v>
      </c>
      <c r="E133" s="184" t="s">
        <v>314</v>
      </c>
      <c r="F133" s="184" t="s">
        <v>83</v>
      </c>
      <c r="G133" s="184">
        <v>8</v>
      </c>
      <c r="H133" s="184">
        <v>33</v>
      </c>
      <c r="I133" s="184">
        <v>3</v>
      </c>
      <c r="J133" s="184">
        <f t="shared" si="6"/>
        <v>44</v>
      </c>
    </row>
    <row r="134" spans="1:10" x14ac:dyDescent="0.2">
      <c r="A134" s="194">
        <v>43205</v>
      </c>
      <c r="B134" s="194">
        <v>43243</v>
      </c>
      <c r="C134" s="187">
        <f t="shared" si="7"/>
        <v>38</v>
      </c>
      <c r="D134" s="184" t="s">
        <v>362</v>
      </c>
      <c r="E134" s="184" t="s">
        <v>312</v>
      </c>
      <c r="F134" s="184" t="s">
        <v>28</v>
      </c>
      <c r="G134" s="184">
        <v>13</v>
      </c>
      <c r="H134" s="184">
        <v>144</v>
      </c>
      <c r="I134" s="184">
        <v>13</v>
      </c>
      <c r="J134" s="184">
        <f t="shared" si="6"/>
        <v>170</v>
      </c>
    </row>
    <row r="135" spans="1:10" x14ac:dyDescent="0.2">
      <c r="A135" s="194">
        <v>43205</v>
      </c>
      <c r="B135" s="194">
        <v>43243</v>
      </c>
      <c r="C135" s="187">
        <f t="shared" si="7"/>
        <v>38</v>
      </c>
      <c r="D135" s="184" t="s">
        <v>363</v>
      </c>
      <c r="E135" s="184" t="s">
        <v>312</v>
      </c>
      <c r="F135" s="184" t="s">
        <v>28</v>
      </c>
      <c r="G135" s="184">
        <v>34</v>
      </c>
      <c r="H135" s="184">
        <v>141</v>
      </c>
      <c r="I135" s="184">
        <v>17</v>
      </c>
      <c r="J135" s="184">
        <f t="shared" si="6"/>
        <v>192</v>
      </c>
    </row>
    <row r="136" spans="1:10" x14ac:dyDescent="0.2">
      <c r="A136" s="194">
        <v>43205</v>
      </c>
      <c r="B136" s="194">
        <v>43243</v>
      </c>
      <c r="C136" s="187">
        <f t="shared" si="7"/>
        <v>38</v>
      </c>
      <c r="D136" s="184" t="s">
        <v>364</v>
      </c>
      <c r="E136" s="184" t="s">
        <v>312</v>
      </c>
      <c r="F136" s="184" t="s">
        <v>28</v>
      </c>
      <c r="G136" s="184">
        <v>10</v>
      </c>
      <c r="H136" s="184">
        <v>147</v>
      </c>
      <c r="I136" s="184">
        <v>8</v>
      </c>
      <c r="J136" s="184">
        <f t="shared" si="6"/>
        <v>165</v>
      </c>
    </row>
    <row r="137" spans="1:10" x14ac:dyDescent="0.2">
      <c r="A137" s="194">
        <v>43206</v>
      </c>
      <c r="B137" s="194">
        <v>43243</v>
      </c>
      <c r="C137" s="187">
        <f t="shared" si="7"/>
        <v>37</v>
      </c>
      <c r="D137" s="184" t="s">
        <v>365</v>
      </c>
      <c r="E137" s="184" t="s">
        <v>311</v>
      </c>
      <c r="F137" s="184" t="s">
        <v>36</v>
      </c>
      <c r="G137" s="184">
        <v>4</v>
      </c>
      <c r="H137" s="184">
        <v>57</v>
      </c>
      <c r="I137" s="184">
        <v>2</v>
      </c>
      <c r="J137" s="184">
        <f t="shared" si="6"/>
        <v>63</v>
      </c>
    </row>
    <row r="138" spans="1:10" x14ac:dyDescent="0.2">
      <c r="A138" s="194">
        <v>43206</v>
      </c>
      <c r="B138" s="194">
        <v>43243</v>
      </c>
      <c r="C138" s="187">
        <f t="shared" si="7"/>
        <v>37</v>
      </c>
      <c r="D138" s="184" t="s">
        <v>366</v>
      </c>
      <c r="E138" s="184" t="s">
        <v>311</v>
      </c>
      <c r="F138" s="184" t="s">
        <v>36</v>
      </c>
      <c r="G138" s="184">
        <v>0</v>
      </c>
      <c r="H138" s="184">
        <v>69</v>
      </c>
      <c r="I138" s="184">
        <v>1</v>
      </c>
      <c r="J138" s="184">
        <f t="shared" si="6"/>
        <v>70</v>
      </c>
    </row>
    <row r="139" spans="1:10" x14ac:dyDescent="0.2">
      <c r="A139" s="194">
        <v>43206</v>
      </c>
      <c r="B139" s="194">
        <v>43243</v>
      </c>
      <c r="C139" s="187">
        <f t="shared" si="7"/>
        <v>37</v>
      </c>
      <c r="D139" s="184" t="s">
        <v>367</v>
      </c>
      <c r="E139" s="184" t="s">
        <v>311</v>
      </c>
      <c r="F139" s="184" t="s">
        <v>36</v>
      </c>
      <c r="G139" s="184">
        <v>1</v>
      </c>
      <c r="H139" s="184">
        <v>38</v>
      </c>
      <c r="I139" s="184">
        <v>3</v>
      </c>
      <c r="J139" s="184">
        <f t="shared" si="6"/>
        <v>42</v>
      </c>
    </row>
    <row r="140" spans="1:10" x14ac:dyDescent="0.2">
      <c r="A140" s="194">
        <v>43205</v>
      </c>
      <c r="B140" s="194">
        <v>43243</v>
      </c>
      <c r="C140" s="187">
        <f t="shared" si="7"/>
        <v>38</v>
      </c>
      <c r="D140" s="184" t="s">
        <v>368</v>
      </c>
      <c r="E140" s="184" t="s">
        <v>314</v>
      </c>
      <c r="F140" s="184" t="s">
        <v>83</v>
      </c>
      <c r="G140" s="184">
        <v>36</v>
      </c>
      <c r="H140" s="184">
        <v>175</v>
      </c>
      <c r="I140" s="184">
        <v>24</v>
      </c>
      <c r="J140" s="184">
        <f t="shared" si="6"/>
        <v>235</v>
      </c>
    </row>
    <row r="141" spans="1:10" x14ac:dyDescent="0.2">
      <c r="A141" s="194">
        <v>43205</v>
      </c>
      <c r="B141" s="194">
        <v>43243</v>
      </c>
      <c r="C141" s="187">
        <f t="shared" si="7"/>
        <v>38</v>
      </c>
      <c r="D141" s="184" t="s">
        <v>369</v>
      </c>
      <c r="E141" s="184" t="s">
        <v>314</v>
      </c>
      <c r="F141" s="184" t="s">
        <v>83</v>
      </c>
      <c r="G141" s="184">
        <v>7</v>
      </c>
      <c r="H141" s="184">
        <v>90</v>
      </c>
      <c r="I141" s="184">
        <v>3</v>
      </c>
      <c r="J141" s="184">
        <f t="shared" si="6"/>
        <v>100</v>
      </c>
    </row>
    <row r="142" spans="1:10" x14ac:dyDescent="0.2">
      <c r="A142" s="194">
        <v>43205</v>
      </c>
      <c r="B142" s="194">
        <v>43243</v>
      </c>
      <c r="C142" s="187">
        <f t="shared" si="7"/>
        <v>38</v>
      </c>
      <c r="D142" s="184" t="s">
        <v>370</v>
      </c>
      <c r="E142" s="184" t="s">
        <v>314</v>
      </c>
      <c r="F142" s="184" t="s">
        <v>83</v>
      </c>
      <c r="G142" s="184">
        <v>28</v>
      </c>
      <c r="H142" s="184">
        <v>136</v>
      </c>
      <c r="I142" s="184">
        <v>15</v>
      </c>
      <c r="J142" s="184">
        <f t="shared" si="6"/>
        <v>179</v>
      </c>
    </row>
    <row r="143" spans="1:10" x14ac:dyDescent="0.2">
      <c r="A143" s="194">
        <v>43209</v>
      </c>
      <c r="B143" s="194">
        <v>43243</v>
      </c>
      <c r="C143" s="187">
        <f t="shared" si="7"/>
        <v>34</v>
      </c>
      <c r="D143" s="184" t="s">
        <v>371</v>
      </c>
      <c r="E143" s="184" t="s">
        <v>314</v>
      </c>
      <c r="F143" s="184" t="s">
        <v>83</v>
      </c>
      <c r="G143" s="184">
        <v>14</v>
      </c>
      <c r="H143" s="184">
        <v>186</v>
      </c>
      <c r="I143" s="184">
        <v>64</v>
      </c>
      <c r="J143" s="184">
        <f t="shared" si="6"/>
        <v>264</v>
      </c>
    </row>
    <row r="144" spans="1:10" x14ac:dyDescent="0.2">
      <c r="A144" s="194">
        <v>43209</v>
      </c>
      <c r="B144" s="194">
        <v>43243</v>
      </c>
      <c r="C144" s="187">
        <f t="shared" si="7"/>
        <v>34</v>
      </c>
      <c r="D144" s="184" t="s">
        <v>372</v>
      </c>
      <c r="E144" s="184" t="s">
        <v>314</v>
      </c>
      <c r="F144" s="184" t="s">
        <v>83</v>
      </c>
      <c r="G144" s="184">
        <v>28</v>
      </c>
      <c r="H144" s="184">
        <v>173</v>
      </c>
      <c r="I144" s="184">
        <v>112</v>
      </c>
      <c r="J144" s="184">
        <f t="shared" si="6"/>
        <v>313</v>
      </c>
    </row>
    <row r="145" spans="1:10" x14ac:dyDescent="0.2">
      <c r="A145" s="194">
        <v>43209</v>
      </c>
      <c r="B145" s="194">
        <v>43243</v>
      </c>
      <c r="C145" s="187">
        <f t="shared" si="7"/>
        <v>34</v>
      </c>
      <c r="D145" s="184" t="s">
        <v>373</v>
      </c>
      <c r="E145" s="184" t="s">
        <v>314</v>
      </c>
      <c r="F145" s="184" t="s">
        <v>83</v>
      </c>
      <c r="G145" s="184">
        <v>31</v>
      </c>
      <c r="H145" s="184">
        <v>150</v>
      </c>
      <c r="I145" s="184">
        <v>96</v>
      </c>
      <c r="J145" s="184">
        <f t="shared" si="6"/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45"/>
  <sheetViews>
    <sheetView showRuler="0" topLeftCell="A31" workbookViewId="0">
      <selection activeCell="L50" sqref="L50:L145"/>
    </sheetView>
  </sheetViews>
  <sheetFormatPr baseColWidth="10" defaultRowHeight="16" x14ac:dyDescent="0.2"/>
  <cols>
    <col min="1" max="1" width="11.5" style="184" customWidth="1"/>
    <col min="2" max="2" width="16.33203125" style="184" customWidth="1"/>
    <col min="3" max="3" width="15" style="184" customWidth="1"/>
    <col min="4" max="4" width="12.1640625" style="184" bestFit="1" customWidth="1"/>
    <col min="5" max="5" width="20" style="184" customWidth="1"/>
    <col min="6" max="6" width="7.5" style="184" bestFit="1" customWidth="1"/>
    <col min="7" max="7" width="4.33203125" style="184" bestFit="1" customWidth="1"/>
    <col min="8" max="8" width="8" style="184" bestFit="1" customWidth="1"/>
    <col min="9" max="9" width="14.5" style="187" customWidth="1"/>
    <col min="10" max="10" width="11.1640625" style="187" customWidth="1"/>
    <col min="11" max="11" width="14.1640625" style="187" customWidth="1"/>
    <col min="12" max="12" width="14.1640625" style="185" customWidth="1"/>
    <col min="13" max="16384" width="10.83203125" style="184"/>
  </cols>
  <sheetData>
    <row r="1" spans="1:14" ht="51" x14ac:dyDescent="0.2">
      <c r="A1" s="189" t="s">
        <v>389</v>
      </c>
      <c r="B1" s="189" t="s">
        <v>388</v>
      </c>
      <c r="C1" s="189" t="s">
        <v>387</v>
      </c>
      <c r="D1" s="189" t="s">
        <v>386</v>
      </c>
      <c r="E1" s="189" t="s">
        <v>385</v>
      </c>
      <c r="F1" s="189" t="s">
        <v>156</v>
      </c>
      <c r="G1" s="189" t="s">
        <v>315</v>
      </c>
      <c r="H1" s="189" t="s">
        <v>316</v>
      </c>
      <c r="I1" s="190" t="s">
        <v>382</v>
      </c>
      <c r="J1" s="190" t="s">
        <v>383</v>
      </c>
      <c r="K1" s="190" t="s">
        <v>384</v>
      </c>
      <c r="L1" s="191" t="s">
        <v>381</v>
      </c>
      <c r="M1" s="207" t="s">
        <v>422</v>
      </c>
      <c r="N1" s="207" t="s">
        <v>421</v>
      </c>
    </row>
    <row r="2" spans="1:14" x14ac:dyDescent="0.2">
      <c r="A2" s="194">
        <v>43202</v>
      </c>
      <c r="B2" s="194">
        <v>43240</v>
      </c>
      <c r="C2" s="187">
        <f t="shared" ref="C2:C33" si="0">B2-A2</f>
        <v>38</v>
      </c>
      <c r="D2" s="194">
        <v>43253</v>
      </c>
      <c r="E2" s="187">
        <f t="shared" ref="E2:E33" si="1">D2-A2</f>
        <v>51</v>
      </c>
      <c r="F2" s="184" t="s">
        <v>341</v>
      </c>
      <c r="G2" s="184" t="s">
        <v>312</v>
      </c>
      <c r="H2" s="184" t="s">
        <v>37</v>
      </c>
      <c r="I2" s="197">
        <f>SUM(6,19,13,9,14,39,35,14,16,20,37,19,20,21,20,25)</f>
        <v>327</v>
      </c>
      <c r="J2" s="187">
        <v>133</v>
      </c>
      <c r="K2" s="187">
        <v>39</v>
      </c>
      <c r="L2" s="188">
        <f>SUM(I2,J2:K4)</f>
        <v>874</v>
      </c>
      <c r="M2" s="184">
        <v>5</v>
      </c>
      <c r="N2" s="208">
        <v>2</v>
      </c>
    </row>
    <row r="3" spans="1:14" x14ac:dyDescent="0.2">
      <c r="A3" s="194">
        <v>43202</v>
      </c>
      <c r="B3" s="194">
        <v>43240</v>
      </c>
      <c r="C3" s="187">
        <f t="shared" si="0"/>
        <v>38</v>
      </c>
      <c r="D3" s="194">
        <v>43253</v>
      </c>
      <c r="E3" s="187">
        <f t="shared" si="1"/>
        <v>51</v>
      </c>
      <c r="F3" s="184" t="s">
        <v>342</v>
      </c>
      <c r="G3" s="184" t="s">
        <v>312</v>
      </c>
      <c r="H3" s="184" t="s">
        <v>37</v>
      </c>
      <c r="J3" s="187">
        <v>155</v>
      </c>
      <c r="K3" s="187">
        <v>82</v>
      </c>
    </row>
    <row r="4" spans="1:14" x14ac:dyDescent="0.2">
      <c r="A4" s="194">
        <v>43202</v>
      </c>
      <c r="B4" s="194">
        <v>43240</v>
      </c>
      <c r="C4" s="187">
        <f t="shared" si="0"/>
        <v>38</v>
      </c>
      <c r="D4" s="194">
        <v>43253</v>
      </c>
      <c r="E4" s="187">
        <f t="shared" si="1"/>
        <v>51</v>
      </c>
      <c r="F4" s="184" t="s">
        <v>343</v>
      </c>
      <c r="G4" s="184" t="s">
        <v>312</v>
      </c>
      <c r="H4" s="184" t="s">
        <v>37</v>
      </c>
      <c r="J4" s="187">
        <v>97</v>
      </c>
      <c r="K4" s="187">
        <v>41</v>
      </c>
    </row>
    <row r="5" spans="1:14" x14ac:dyDescent="0.2">
      <c r="A5" s="194">
        <v>43192</v>
      </c>
      <c r="B5" s="194">
        <v>43228</v>
      </c>
      <c r="C5" s="187">
        <f t="shared" si="0"/>
        <v>36</v>
      </c>
      <c r="D5" s="194">
        <v>43243</v>
      </c>
      <c r="E5" s="187">
        <f t="shared" si="1"/>
        <v>51</v>
      </c>
      <c r="F5" s="184" t="s">
        <v>242</v>
      </c>
      <c r="G5" s="184" t="s">
        <v>312</v>
      </c>
      <c r="H5" s="184" t="s">
        <v>37</v>
      </c>
      <c r="I5" s="187">
        <v>79</v>
      </c>
      <c r="J5" s="187">
        <v>37</v>
      </c>
      <c r="K5" s="187">
        <v>3</v>
      </c>
      <c r="L5" s="188">
        <f>SUM(I5,J5:K7)</f>
        <v>190</v>
      </c>
      <c r="M5" s="208">
        <v>22</v>
      </c>
      <c r="N5" s="208">
        <v>5</v>
      </c>
    </row>
    <row r="6" spans="1:14" x14ac:dyDescent="0.2">
      <c r="A6" s="194">
        <v>43192</v>
      </c>
      <c r="B6" s="194">
        <v>43228</v>
      </c>
      <c r="C6" s="187">
        <f t="shared" si="0"/>
        <v>36</v>
      </c>
      <c r="D6" s="194">
        <v>43243</v>
      </c>
      <c r="E6" s="187">
        <f t="shared" si="1"/>
        <v>51</v>
      </c>
      <c r="F6" s="184" t="s">
        <v>243</v>
      </c>
      <c r="G6" s="184" t="s">
        <v>312</v>
      </c>
      <c r="H6" s="184" t="s">
        <v>37</v>
      </c>
      <c r="J6" s="187">
        <v>33</v>
      </c>
      <c r="K6" s="187">
        <v>3</v>
      </c>
    </row>
    <row r="7" spans="1:14" x14ac:dyDescent="0.2">
      <c r="A7" s="194">
        <v>43192</v>
      </c>
      <c r="B7" s="194">
        <v>43228</v>
      </c>
      <c r="C7" s="187">
        <f t="shared" si="0"/>
        <v>36</v>
      </c>
      <c r="D7" s="194">
        <v>43243</v>
      </c>
      <c r="E7" s="187">
        <f t="shared" si="1"/>
        <v>51</v>
      </c>
      <c r="F7" s="184" t="s">
        <v>244</v>
      </c>
      <c r="G7" s="184" t="s">
        <v>312</v>
      </c>
      <c r="H7" s="184" t="s">
        <v>37</v>
      </c>
      <c r="J7" s="187">
        <v>28</v>
      </c>
      <c r="K7" s="187">
        <v>7</v>
      </c>
    </row>
    <row r="8" spans="1:14" x14ac:dyDescent="0.2">
      <c r="A8" s="194">
        <v>43193</v>
      </c>
      <c r="B8" s="194">
        <v>43228</v>
      </c>
      <c r="C8" s="187">
        <f t="shared" si="0"/>
        <v>35</v>
      </c>
      <c r="D8" s="194">
        <v>43243</v>
      </c>
      <c r="E8" s="187">
        <f t="shared" si="1"/>
        <v>50</v>
      </c>
      <c r="F8" s="184" t="s">
        <v>251</v>
      </c>
      <c r="G8" s="184" t="s">
        <v>312</v>
      </c>
      <c r="H8" s="184" t="s">
        <v>37</v>
      </c>
      <c r="I8" s="187">
        <v>3</v>
      </c>
      <c r="J8" s="187">
        <v>2</v>
      </c>
      <c r="K8" s="187">
        <v>0</v>
      </c>
      <c r="L8" s="188">
        <f>SUM(I8,J8:K10)</f>
        <v>9</v>
      </c>
      <c r="M8" s="208">
        <v>2</v>
      </c>
      <c r="N8" s="184" t="s">
        <v>423</v>
      </c>
    </row>
    <row r="9" spans="1:14" x14ac:dyDescent="0.2">
      <c r="A9" s="194">
        <v>43193</v>
      </c>
      <c r="B9" s="194">
        <v>43228</v>
      </c>
      <c r="C9" s="187">
        <f t="shared" si="0"/>
        <v>35</v>
      </c>
      <c r="D9" s="194">
        <v>43243</v>
      </c>
      <c r="E9" s="187">
        <f t="shared" si="1"/>
        <v>50</v>
      </c>
      <c r="F9" s="184" t="s">
        <v>252</v>
      </c>
      <c r="G9" s="184" t="s">
        <v>312</v>
      </c>
      <c r="H9" s="184" t="s">
        <v>37</v>
      </c>
      <c r="J9" s="187">
        <v>0</v>
      </c>
      <c r="K9" s="187">
        <v>0</v>
      </c>
    </row>
    <row r="10" spans="1:14" x14ac:dyDescent="0.2">
      <c r="A10" s="194">
        <v>43193</v>
      </c>
      <c r="B10" s="194">
        <v>43228</v>
      </c>
      <c r="C10" s="187">
        <f t="shared" si="0"/>
        <v>35</v>
      </c>
      <c r="D10" s="194">
        <v>43243</v>
      </c>
      <c r="E10" s="187">
        <f t="shared" si="1"/>
        <v>50</v>
      </c>
      <c r="F10" s="184" t="s">
        <v>253</v>
      </c>
      <c r="G10" s="184" t="s">
        <v>312</v>
      </c>
      <c r="H10" s="184" t="s">
        <v>37</v>
      </c>
      <c r="J10" s="187">
        <v>3</v>
      </c>
      <c r="K10" s="187">
        <v>1</v>
      </c>
    </row>
    <row r="11" spans="1:14" x14ac:dyDescent="0.2">
      <c r="A11" s="194">
        <v>43204</v>
      </c>
      <c r="B11" s="194">
        <v>43240</v>
      </c>
      <c r="C11" s="187">
        <f t="shared" si="0"/>
        <v>36</v>
      </c>
      <c r="D11" s="194">
        <v>43253</v>
      </c>
      <c r="E11" s="187">
        <f t="shared" si="1"/>
        <v>49</v>
      </c>
      <c r="F11" s="184" t="s">
        <v>353</v>
      </c>
      <c r="G11" s="184" t="s">
        <v>312</v>
      </c>
      <c r="H11" s="184" t="s">
        <v>37</v>
      </c>
      <c r="I11" s="187">
        <v>23</v>
      </c>
      <c r="J11" s="187">
        <v>19</v>
      </c>
      <c r="K11" s="187">
        <v>0</v>
      </c>
      <c r="L11" s="188">
        <f>SUM(I11,J11:K13)</f>
        <v>201</v>
      </c>
      <c r="M11" s="208">
        <v>6</v>
      </c>
      <c r="N11" s="208">
        <v>3</v>
      </c>
    </row>
    <row r="12" spans="1:14" x14ac:dyDescent="0.2">
      <c r="A12" s="194">
        <v>43204</v>
      </c>
      <c r="B12" s="194">
        <v>43240</v>
      </c>
      <c r="C12" s="187">
        <f t="shared" si="0"/>
        <v>36</v>
      </c>
      <c r="D12" s="194">
        <v>43253</v>
      </c>
      <c r="E12" s="187">
        <f t="shared" si="1"/>
        <v>49</v>
      </c>
      <c r="F12" s="184" t="s">
        <v>354</v>
      </c>
      <c r="G12" s="184" t="s">
        <v>312</v>
      </c>
      <c r="H12" s="184" t="s">
        <v>37</v>
      </c>
      <c r="J12" s="187">
        <v>84</v>
      </c>
      <c r="K12" s="187">
        <v>4</v>
      </c>
    </row>
    <row r="13" spans="1:14" x14ac:dyDescent="0.2">
      <c r="A13" s="194">
        <v>43204</v>
      </c>
      <c r="B13" s="194">
        <v>43240</v>
      </c>
      <c r="C13" s="187">
        <f t="shared" si="0"/>
        <v>36</v>
      </c>
      <c r="D13" s="194">
        <v>43253</v>
      </c>
      <c r="E13" s="187">
        <f t="shared" si="1"/>
        <v>49</v>
      </c>
      <c r="F13" s="184" t="s">
        <v>355</v>
      </c>
      <c r="G13" s="184" t="s">
        <v>312</v>
      </c>
      <c r="H13" s="184" t="s">
        <v>37</v>
      </c>
      <c r="J13" s="187">
        <v>68</v>
      </c>
      <c r="K13" s="187">
        <v>3</v>
      </c>
    </row>
    <row r="14" spans="1:14" x14ac:dyDescent="0.2">
      <c r="A14" s="194">
        <v>43198</v>
      </c>
      <c r="B14" s="194">
        <v>43233</v>
      </c>
      <c r="C14" s="187">
        <f t="shared" si="0"/>
        <v>35</v>
      </c>
      <c r="D14" s="194">
        <v>43247</v>
      </c>
      <c r="E14" s="187">
        <f t="shared" si="1"/>
        <v>49</v>
      </c>
      <c r="F14" s="184" t="s">
        <v>293</v>
      </c>
      <c r="G14" s="184" t="s">
        <v>312</v>
      </c>
      <c r="H14" s="184" t="s">
        <v>37</v>
      </c>
      <c r="I14" s="187">
        <v>31</v>
      </c>
      <c r="J14" s="187">
        <v>58</v>
      </c>
      <c r="K14" s="187">
        <v>2</v>
      </c>
      <c r="L14" s="188">
        <f>SUM(I14,J14:K16)</f>
        <v>223</v>
      </c>
      <c r="M14" s="208">
        <v>5</v>
      </c>
      <c r="N14" s="208">
        <v>4</v>
      </c>
    </row>
    <row r="15" spans="1:14" x14ac:dyDescent="0.2">
      <c r="A15" s="194">
        <v>43198</v>
      </c>
      <c r="B15" s="194">
        <v>43233</v>
      </c>
      <c r="C15" s="187">
        <f t="shared" si="0"/>
        <v>35</v>
      </c>
      <c r="D15" s="194">
        <v>43247</v>
      </c>
      <c r="E15" s="187">
        <f t="shared" si="1"/>
        <v>49</v>
      </c>
      <c r="F15" s="184" t="s">
        <v>294</v>
      </c>
      <c r="G15" s="184" t="s">
        <v>312</v>
      </c>
      <c r="H15" s="184" t="s">
        <v>37</v>
      </c>
      <c r="J15" s="187">
        <v>55</v>
      </c>
      <c r="K15" s="187">
        <v>1</v>
      </c>
    </row>
    <row r="16" spans="1:14" x14ac:dyDescent="0.2">
      <c r="A16" s="194">
        <v>43198</v>
      </c>
      <c r="B16" s="194">
        <v>43233</v>
      </c>
      <c r="C16" s="187">
        <f t="shared" si="0"/>
        <v>35</v>
      </c>
      <c r="D16" s="194">
        <v>43247</v>
      </c>
      <c r="E16" s="187">
        <f t="shared" si="1"/>
        <v>49</v>
      </c>
      <c r="F16" s="184" t="s">
        <v>295</v>
      </c>
      <c r="G16" s="184" t="s">
        <v>312</v>
      </c>
      <c r="H16" s="184" t="s">
        <v>37</v>
      </c>
      <c r="J16" s="187">
        <v>74</v>
      </c>
      <c r="K16" s="187">
        <v>2</v>
      </c>
    </row>
    <row r="17" spans="1:14" x14ac:dyDescent="0.2">
      <c r="A17" s="194">
        <v>43198</v>
      </c>
      <c r="B17" s="194">
        <v>43233</v>
      </c>
      <c r="C17" s="187">
        <f t="shared" si="0"/>
        <v>35</v>
      </c>
      <c r="D17" s="194">
        <v>43247</v>
      </c>
      <c r="E17" s="187">
        <f t="shared" si="1"/>
        <v>49</v>
      </c>
      <c r="F17" s="184" t="s">
        <v>296</v>
      </c>
      <c r="G17" s="184" t="s">
        <v>312</v>
      </c>
      <c r="H17" s="184" t="s">
        <v>37</v>
      </c>
      <c r="I17" s="187">
        <v>13</v>
      </c>
      <c r="J17" s="187">
        <v>91</v>
      </c>
      <c r="K17" s="187">
        <v>2</v>
      </c>
      <c r="L17" s="188">
        <f>SUM(I17,J17:K19)</f>
        <v>204</v>
      </c>
      <c r="M17" s="184" t="s">
        <v>423</v>
      </c>
      <c r="N17" s="184" t="s">
        <v>423</v>
      </c>
    </row>
    <row r="18" spans="1:14" x14ac:dyDescent="0.2">
      <c r="A18" s="194">
        <v>43198</v>
      </c>
      <c r="B18" s="194">
        <v>43233</v>
      </c>
      <c r="C18" s="187">
        <f t="shared" si="0"/>
        <v>35</v>
      </c>
      <c r="D18" s="194">
        <v>43247</v>
      </c>
      <c r="E18" s="187">
        <f t="shared" si="1"/>
        <v>49</v>
      </c>
      <c r="F18" s="184" t="s">
        <v>298</v>
      </c>
      <c r="G18" s="184" t="s">
        <v>312</v>
      </c>
      <c r="H18" s="184" t="s">
        <v>37</v>
      </c>
      <c r="J18" s="187">
        <v>51</v>
      </c>
      <c r="K18" s="187">
        <v>1</v>
      </c>
    </row>
    <row r="19" spans="1:14" x14ac:dyDescent="0.2">
      <c r="A19" s="194">
        <v>43198</v>
      </c>
      <c r="B19" s="194">
        <v>43233</v>
      </c>
      <c r="C19" s="187">
        <f t="shared" si="0"/>
        <v>35</v>
      </c>
      <c r="D19" s="194">
        <v>43247</v>
      </c>
      <c r="E19" s="187">
        <f t="shared" si="1"/>
        <v>49</v>
      </c>
      <c r="F19" s="184" t="s">
        <v>297</v>
      </c>
      <c r="G19" s="184" t="s">
        <v>312</v>
      </c>
      <c r="H19" s="184" t="s">
        <v>37</v>
      </c>
      <c r="J19" s="187">
        <v>45</v>
      </c>
      <c r="K19" s="187">
        <v>1</v>
      </c>
    </row>
    <row r="20" spans="1:14" x14ac:dyDescent="0.2">
      <c r="A20" s="194">
        <v>43198</v>
      </c>
      <c r="B20" s="194">
        <v>43233</v>
      </c>
      <c r="C20" s="187">
        <f t="shared" si="0"/>
        <v>35</v>
      </c>
      <c r="D20" s="194">
        <v>43247</v>
      </c>
      <c r="E20" s="187">
        <f t="shared" si="1"/>
        <v>49</v>
      </c>
      <c r="F20" s="184" t="s">
        <v>305</v>
      </c>
      <c r="G20" s="184" t="s">
        <v>312</v>
      </c>
      <c r="H20" s="184" t="s">
        <v>28</v>
      </c>
      <c r="I20" s="187">
        <v>3</v>
      </c>
      <c r="J20" s="187">
        <v>11</v>
      </c>
      <c r="K20" s="187">
        <v>0</v>
      </c>
      <c r="L20" s="188">
        <f>SUM(I20,J20:K22)</f>
        <v>46</v>
      </c>
      <c r="M20" s="208">
        <v>0</v>
      </c>
      <c r="N20" s="184" t="s">
        <v>423</v>
      </c>
    </row>
    <row r="21" spans="1:14" x14ac:dyDescent="0.2">
      <c r="A21" s="194">
        <v>43198</v>
      </c>
      <c r="B21" s="194">
        <v>43233</v>
      </c>
      <c r="C21" s="187">
        <f t="shared" si="0"/>
        <v>35</v>
      </c>
      <c r="D21" s="194">
        <v>43247</v>
      </c>
      <c r="E21" s="187">
        <f t="shared" si="1"/>
        <v>49</v>
      </c>
      <c r="F21" s="184" t="s">
        <v>306</v>
      </c>
      <c r="G21" s="184" t="s">
        <v>312</v>
      </c>
      <c r="H21" s="184" t="s">
        <v>28</v>
      </c>
      <c r="J21" s="187">
        <v>20</v>
      </c>
      <c r="K21" s="187">
        <v>2</v>
      </c>
    </row>
    <row r="22" spans="1:14" x14ac:dyDescent="0.2">
      <c r="A22" s="194">
        <v>43198</v>
      </c>
      <c r="B22" s="194">
        <v>43233</v>
      </c>
      <c r="C22" s="187">
        <f t="shared" si="0"/>
        <v>35</v>
      </c>
      <c r="D22" s="194">
        <v>43247</v>
      </c>
      <c r="E22" s="187">
        <f t="shared" si="1"/>
        <v>49</v>
      </c>
      <c r="F22" s="184" t="s">
        <v>307</v>
      </c>
      <c r="G22" s="184" t="s">
        <v>312</v>
      </c>
      <c r="H22" s="184" t="s">
        <v>28</v>
      </c>
      <c r="J22" s="187">
        <v>8</v>
      </c>
      <c r="K22" s="187">
        <v>2</v>
      </c>
    </row>
    <row r="23" spans="1:14" x14ac:dyDescent="0.2">
      <c r="A23" s="194">
        <v>43196</v>
      </c>
      <c r="B23" s="194">
        <v>43233</v>
      </c>
      <c r="C23" s="187">
        <f t="shared" si="0"/>
        <v>37</v>
      </c>
      <c r="D23" s="194">
        <v>43247</v>
      </c>
      <c r="E23" s="187">
        <f t="shared" si="1"/>
        <v>51</v>
      </c>
      <c r="F23" s="184" t="s">
        <v>266</v>
      </c>
      <c r="G23" s="184" t="s">
        <v>312</v>
      </c>
      <c r="H23" s="184" t="s">
        <v>28</v>
      </c>
      <c r="I23" s="187">
        <v>5</v>
      </c>
      <c r="J23" s="187">
        <v>57</v>
      </c>
      <c r="K23" s="187">
        <v>0</v>
      </c>
      <c r="L23" s="188">
        <f>SUM(I23,J23:K25)</f>
        <v>130</v>
      </c>
      <c r="M23" s="184" t="s">
        <v>423</v>
      </c>
      <c r="N23" s="184" t="s">
        <v>423</v>
      </c>
    </row>
    <row r="24" spans="1:14" x14ac:dyDescent="0.2">
      <c r="A24" s="194">
        <v>43196</v>
      </c>
      <c r="B24" s="194">
        <v>43233</v>
      </c>
      <c r="C24" s="187">
        <f t="shared" si="0"/>
        <v>37</v>
      </c>
      <c r="D24" s="194">
        <v>43247</v>
      </c>
      <c r="E24" s="187">
        <f t="shared" si="1"/>
        <v>51</v>
      </c>
      <c r="F24" s="184" t="s">
        <v>267</v>
      </c>
      <c r="G24" s="184" t="s">
        <v>312</v>
      </c>
      <c r="H24" s="184" t="s">
        <v>28</v>
      </c>
      <c r="J24" s="187">
        <v>67</v>
      </c>
      <c r="K24" s="187">
        <v>0</v>
      </c>
    </row>
    <row r="25" spans="1:14" x14ac:dyDescent="0.2">
      <c r="A25" s="194">
        <v>43196</v>
      </c>
      <c r="B25" s="194">
        <v>43233</v>
      </c>
      <c r="C25" s="187">
        <f t="shared" si="0"/>
        <v>37</v>
      </c>
      <c r="D25" s="194">
        <v>43247</v>
      </c>
      <c r="E25" s="187">
        <f t="shared" si="1"/>
        <v>51</v>
      </c>
      <c r="F25" s="184" t="s">
        <v>268</v>
      </c>
      <c r="G25" s="184" t="s">
        <v>312</v>
      </c>
      <c r="H25" s="184" t="s">
        <v>28</v>
      </c>
      <c r="J25" s="187">
        <v>1</v>
      </c>
      <c r="K25" s="187">
        <v>0</v>
      </c>
    </row>
    <row r="26" spans="1:14" x14ac:dyDescent="0.2">
      <c r="A26" s="194">
        <v>43191</v>
      </c>
      <c r="B26" s="194">
        <v>43226</v>
      </c>
      <c r="C26" s="187">
        <f t="shared" si="0"/>
        <v>35</v>
      </c>
      <c r="D26" s="194">
        <v>43243</v>
      </c>
      <c r="E26" s="187">
        <f t="shared" si="1"/>
        <v>52</v>
      </c>
      <c r="F26" s="184" t="s">
        <v>233</v>
      </c>
      <c r="G26" s="184" t="s">
        <v>312</v>
      </c>
      <c r="H26" s="184" t="s">
        <v>28</v>
      </c>
      <c r="I26" s="187">
        <v>5</v>
      </c>
      <c r="J26" s="187">
        <v>25</v>
      </c>
      <c r="K26" s="187">
        <v>0</v>
      </c>
      <c r="L26" s="188">
        <f>SUM(I26,J26:K28)</f>
        <v>46</v>
      </c>
      <c r="M26" s="208">
        <v>3</v>
      </c>
      <c r="N26" s="184" t="s">
        <v>423</v>
      </c>
    </row>
    <row r="27" spans="1:14" x14ac:dyDescent="0.2">
      <c r="A27" s="194">
        <v>43191</v>
      </c>
      <c r="B27" s="194">
        <v>43226</v>
      </c>
      <c r="C27" s="187">
        <f t="shared" si="0"/>
        <v>35</v>
      </c>
      <c r="D27" s="194">
        <v>43243</v>
      </c>
      <c r="E27" s="187">
        <f t="shared" si="1"/>
        <v>52</v>
      </c>
      <c r="F27" s="184" t="s">
        <v>234</v>
      </c>
      <c r="G27" s="184" t="s">
        <v>312</v>
      </c>
      <c r="H27" s="184" t="s">
        <v>28</v>
      </c>
      <c r="J27" s="187">
        <v>12</v>
      </c>
      <c r="K27" s="187">
        <v>1</v>
      </c>
    </row>
    <row r="28" spans="1:14" x14ac:dyDescent="0.2">
      <c r="A28" s="194">
        <v>43191</v>
      </c>
      <c r="B28" s="194">
        <v>43226</v>
      </c>
      <c r="C28" s="187">
        <f t="shared" si="0"/>
        <v>35</v>
      </c>
      <c r="D28" s="194">
        <v>43243</v>
      </c>
      <c r="E28" s="187">
        <f t="shared" si="1"/>
        <v>52</v>
      </c>
      <c r="F28" s="184" t="s">
        <v>235</v>
      </c>
      <c r="G28" s="184" t="s">
        <v>312</v>
      </c>
      <c r="H28" s="184" t="s">
        <v>28</v>
      </c>
      <c r="J28" s="187">
        <v>3</v>
      </c>
      <c r="K28" s="187">
        <v>0</v>
      </c>
    </row>
    <row r="29" spans="1:14" x14ac:dyDescent="0.2">
      <c r="A29" s="194">
        <v>43200</v>
      </c>
      <c r="B29" s="194">
        <v>43235</v>
      </c>
      <c r="C29" s="187">
        <f t="shared" si="0"/>
        <v>35</v>
      </c>
      <c r="D29" s="194">
        <v>43249</v>
      </c>
      <c r="E29" s="187">
        <f t="shared" si="1"/>
        <v>49</v>
      </c>
      <c r="F29" s="184" t="s">
        <v>377</v>
      </c>
      <c r="G29" s="184" t="s">
        <v>312</v>
      </c>
      <c r="H29" s="184" t="s">
        <v>28</v>
      </c>
      <c r="I29" s="187">
        <v>6</v>
      </c>
      <c r="J29" s="187">
        <v>1</v>
      </c>
      <c r="K29" s="187">
        <v>0</v>
      </c>
      <c r="L29" s="188">
        <f>SUM(I29,J29:K31)</f>
        <v>34</v>
      </c>
      <c r="M29" s="184" t="s">
        <v>423</v>
      </c>
      <c r="N29" s="184" t="s">
        <v>423</v>
      </c>
    </row>
    <row r="30" spans="1:14" x14ac:dyDescent="0.2">
      <c r="A30" s="194">
        <v>43200</v>
      </c>
      <c r="B30" s="194">
        <v>43235</v>
      </c>
      <c r="C30" s="187">
        <f t="shared" si="0"/>
        <v>35</v>
      </c>
      <c r="D30" s="194">
        <v>43249</v>
      </c>
      <c r="E30" s="187">
        <f t="shared" si="1"/>
        <v>49</v>
      </c>
      <c r="F30" s="184" t="s">
        <v>378</v>
      </c>
      <c r="G30" s="184" t="s">
        <v>312</v>
      </c>
      <c r="H30" s="184" t="s">
        <v>28</v>
      </c>
      <c r="J30" s="187">
        <v>3</v>
      </c>
      <c r="K30" s="187">
        <v>3</v>
      </c>
    </row>
    <row r="31" spans="1:14" x14ac:dyDescent="0.2">
      <c r="A31" s="194">
        <v>43200</v>
      </c>
      <c r="B31" s="194">
        <v>43235</v>
      </c>
      <c r="C31" s="187">
        <f t="shared" si="0"/>
        <v>35</v>
      </c>
      <c r="D31" s="194">
        <v>43249</v>
      </c>
      <c r="E31" s="187">
        <f t="shared" si="1"/>
        <v>49</v>
      </c>
      <c r="F31" s="184" t="s">
        <v>379</v>
      </c>
      <c r="G31" s="184" t="s">
        <v>312</v>
      </c>
      <c r="H31" s="184" t="s">
        <v>28</v>
      </c>
      <c r="J31" s="187">
        <v>19</v>
      </c>
      <c r="K31" s="187">
        <v>2</v>
      </c>
    </row>
    <row r="32" spans="1:14" x14ac:dyDescent="0.2">
      <c r="A32" s="194">
        <v>43205</v>
      </c>
      <c r="B32" s="194">
        <v>43243</v>
      </c>
      <c r="C32" s="187">
        <f t="shared" si="0"/>
        <v>38</v>
      </c>
      <c r="D32" s="194">
        <v>43256</v>
      </c>
      <c r="E32" s="187">
        <f t="shared" si="1"/>
        <v>51</v>
      </c>
      <c r="F32" s="184" t="s">
        <v>362</v>
      </c>
      <c r="G32" s="184" t="s">
        <v>312</v>
      </c>
      <c r="H32" s="184" t="s">
        <v>28</v>
      </c>
      <c r="I32" s="187">
        <v>62</v>
      </c>
      <c r="J32" s="187">
        <v>121</v>
      </c>
      <c r="K32" s="187">
        <v>5</v>
      </c>
      <c r="L32" s="188">
        <f>SUM(I32,J32:K34)</f>
        <v>449</v>
      </c>
      <c r="M32" s="208">
        <v>0</v>
      </c>
      <c r="N32" s="208">
        <v>2</v>
      </c>
    </row>
    <row r="33" spans="1:14" x14ac:dyDescent="0.2">
      <c r="A33" s="194">
        <v>43205</v>
      </c>
      <c r="B33" s="194">
        <v>43243</v>
      </c>
      <c r="C33" s="187">
        <f t="shared" si="0"/>
        <v>38</v>
      </c>
      <c r="D33" s="194">
        <v>43256</v>
      </c>
      <c r="E33" s="187">
        <f t="shared" si="1"/>
        <v>51</v>
      </c>
      <c r="F33" s="184" t="s">
        <v>363</v>
      </c>
      <c r="G33" s="184" t="s">
        <v>312</v>
      </c>
      <c r="H33" s="184" t="s">
        <v>28</v>
      </c>
      <c r="J33" s="187">
        <v>116</v>
      </c>
      <c r="K33" s="187">
        <v>10</v>
      </c>
    </row>
    <row r="34" spans="1:14" x14ac:dyDescent="0.2">
      <c r="A34" s="194">
        <v>43205</v>
      </c>
      <c r="B34" s="194">
        <v>43243</v>
      </c>
      <c r="C34" s="187">
        <f t="shared" ref="C34:C65" si="2">B34-A34</f>
        <v>38</v>
      </c>
      <c r="D34" s="194">
        <v>43256</v>
      </c>
      <c r="E34" s="187">
        <f t="shared" ref="E34:E65" si="3">D34-A34</f>
        <v>51</v>
      </c>
      <c r="F34" s="184" t="s">
        <v>364</v>
      </c>
      <c r="G34" s="184" t="s">
        <v>312</v>
      </c>
      <c r="H34" s="184" t="s">
        <v>28</v>
      </c>
      <c r="J34" s="187">
        <v>129</v>
      </c>
      <c r="K34" s="187">
        <v>6</v>
      </c>
    </row>
    <row r="35" spans="1:14" x14ac:dyDescent="0.2">
      <c r="A35" s="194">
        <v>43203</v>
      </c>
      <c r="B35" s="194">
        <v>43240</v>
      </c>
      <c r="C35" s="187">
        <f t="shared" si="2"/>
        <v>37</v>
      </c>
      <c r="D35" s="194">
        <v>43253</v>
      </c>
      <c r="E35" s="187">
        <f t="shared" si="3"/>
        <v>50</v>
      </c>
      <c r="F35" s="184" t="s">
        <v>347</v>
      </c>
      <c r="G35" s="184" t="s">
        <v>312</v>
      </c>
      <c r="H35" s="184" t="s">
        <v>28</v>
      </c>
      <c r="I35" s="187">
        <v>9</v>
      </c>
      <c r="J35" s="187">
        <v>13</v>
      </c>
      <c r="K35" s="187">
        <v>4</v>
      </c>
      <c r="L35" s="188">
        <f>SUM(I35,J35:K37)</f>
        <v>174</v>
      </c>
      <c r="M35" s="208">
        <v>9</v>
      </c>
      <c r="N35" s="184" t="s">
        <v>423</v>
      </c>
    </row>
    <row r="36" spans="1:14" x14ac:dyDescent="0.2">
      <c r="A36" s="194">
        <v>43203</v>
      </c>
      <c r="B36" s="194">
        <v>43240</v>
      </c>
      <c r="C36" s="187">
        <f t="shared" si="2"/>
        <v>37</v>
      </c>
      <c r="D36" s="194">
        <v>43253</v>
      </c>
      <c r="E36" s="187">
        <f t="shared" si="3"/>
        <v>50</v>
      </c>
      <c r="F36" s="184" t="s">
        <v>348</v>
      </c>
      <c r="G36" s="184" t="s">
        <v>312</v>
      </c>
      <c r="H36" s="184" t="s">
        <v>28</v>
      </c>
      <c r="J36" s="187">
        <v>99</v>
      </c>
      <c r="K36" s="187">
        <v>11</v>
      </c>
    </row>
    <row r="37" spans="1:14" x14ac:dyDescent="0.2">
      <c r="A37" s="194">
        <v>43203</v>
      </c>
      <c r="B37" s="194">
        <v>43240</v>
      </c>
      <c r="C37" s="187">
        <f t="shared" si="2"/>
        <v>37</v>
      </c>
      <c r="D37" s="194">
        <v>43253</v>
      </c>
      <c r="E37" s="187">
        <f t="shared" si="3"/>
        <v>50</v>
      </c>
      <c r="F37" s="184" t="s">
        <v>349</v>
      </c>
      <c r="G37" s="184" t="s">
        <v>312</v>
      </c>
      <c r="H37" s="184" t="s">
        <v>28</v>
      </c>
      <c r="J37" s="187">
        <v>38</v>
      </c>
      <c r="K37" s="187">
        <v>0</v>
      </c>
    </row>
    <row r="38" spans="1:14" x14ac:dyDescent="0.2">
      <c r="A38" s="194">
        <v>43198</v>
      </c>
      <c r="B38" s="194">
        <v>43233</v>
      </c>
      <c r="C38" s="187">
        <f t="shared" si="2"/>
        <v>35</v>
      </c>
      <c r="D38" s="194">
        <v>43247</v>
      </c>
      <c r="E38" s="187">
        <f t="shared" si="3"/>
        <v>49</v>
      </c>
      <c r="F38" s="184" t="s">
        <v>308</v>
      </c>
      <c r="G38" s="184" t="s">
        <v>311</v>
      </c>
      <c r="H38" s="184" t="s">
        <v>29</v>
      </c>
      <c r="I38" s="187">
        <v>36</v>
      </c>
      <c r="J38" s="187">
        <v>142</v>
      </c>
      <c r="K38" s="187">
        <v>36</v>
      </c>
      <c r="L38" s="188">
        <f>SUM(I38,J38:K40)</f>
        <v>442</v>
      </c>
      <c r="M38" s="208">
        <v>4</v>
      </c>
      <c r="N38" s="208">
        <v>5</v>
      </c>
    </row>
    <row r="39" spans="1:14" x14ac:dyDescent="0.2">
      <c r="A39" s="194">
        <v>43198</v>
      </c>
      <c r="B39" s="194">
        <v>43233</v>
      </c>
      <c r="C39" s="187">
        <f t="shared" si="2"/>
        <v>35</v>
      </c>
      <c r="D39" s="194">
        <v>43247</v>
      </c>
      <c r="E39" s="187">
        <f t="shared" si="3"/>
        <v>49</v>
      </c>
      <c r="F39" s="184" t="s">
        <v>309</v>
      </c>
      <c r="G39" s="184" t="s">
        <v>311</v>
      </c>
      <c r="H39" s="184" t="s">
        <v>29</v>
      </c>
      <c r="J39" s="187">
        <v>129</v>
      </c>
      <c r="K39" s="187">
        <v>7</v>
      </c>
    </row>
    <row r="40" spans="1:14" x14ac:dyDescent="0.2">
      <c r="A40" s="194">
        <v>43198</v>
      </c>
      <c r="B40" s="194">
        <v>43233</v>
      </c>
      <c r="C40" s="187">
        <f t="shared" si="2"/>
        <v>35</v>
      </c>
      <c r="D40" s="194">
        <v>43247</v>
      </c>
      <c r="E40" s="187">
        <f t="shared" si="3"/>
        <v>49</v>
      </c>
      <c r="F40" s="184" t="s">
        <v>310</v>
      </c>
      <c r="G40" s="184" t="s">
        <v>311</v>
      </c>
      <c r="H40" s="184" t="s">
        <v>29</v>
      </c>
      <c r="J40" s="187">
        <v>85</v>
      </c>
      <c r="K40" s="187">
        <v>7</v>
      </c>
    </row>
    <row r="41" spans="1:14" x14ac:dyDescent="0.2">
      <c r="A41" s="194">
        <v>43190</v>
      </c>
      <c r="B41" s="194">
        <v>43226</v>
      </c>
      <c r="C41" s="187">
        <f t="shared" si="2"/>
        <v>36</v>
      </c>
      <c r="D41" s="194">
        <v>43243</v>
      </c>
      <c r="E41" s="187">
        <f t="shared" si="3"/>
        <v>53</v>
      </c>
      <c r="F41" s="184" t="s">
        <v>230</v>
      </c>
      <c r="G41" s="184" t="s">
        <v>311</v>
      </c>
      <c r="H41" s="184" t="s">
        <v>29</v>
      </c>
      <c r="I41" s="187">
        <v>49</v>
      </c>
      <c r="J41" s="187">
        <v>55</v>
      </c>
      <c r="K41" s="187">
        <v>3</v>
      </c>
      <c r="L41" s="188">
        <f>SUM(I41,J41:K43)</f>
        <v>177</v>
      </c>
      <c r="M41" s="208">
        <v>16</v>
      </c>
      <c r="N41" s="208">
        <v>5</v>
      </c>
    </row>
    <row r="42" spans="1:14" x14ac:dyDescent="0.2">
      <c r="A42" s="194">
        <v>43190</v>
      </c>
      <c r="B42" s="194">
        <v>43226</v>
      </c>
      <c r="C42" s="187">
        <f t="shared" si="2"/>
        <v>36</v>
      </c>
      <c r="D42" s="194">
        <v>43243</v>
      </c>
      <c r="E42" s="187">
        <f t="shared" si="3"/>
        <v>53</v>
      </c>
      <c r="F42" s="184" t="s">
        <v>231</v>
      </c>
      <c r="G42" s="184" t="s">
        <v>311</v>
      </c>
      <c r="H42" s="184" t="s">
        <v>29</v>
      </c>
      <c r="J42" s="187">
        <v>31</v>
      </c>
      <c r="K42" s="187">
        <v>8</v>
      </c>
    </row>
    <row r="43" spans="1:14" x14ac:dyDescent="0.2">
      <c r="A43" s="194">
        <v>43190</v>
      </c>
      <c r="B43" s="194">
        <v>43226</v>
      </c>
      <c r="C43" s="187">
        <f t="shared" si="2"/>
        <v>36</v>
      </c>
      <c r="D43" s="194">
        <v>43243</v>
      </c>
      <c r="E43" s="187">
        <f t="shared" si="3"/>
        <v>53</v>
      </c>
      <c r="F43" s="184" t="s">
        <v>232</v>
      </c>
      <c r="G43" s="184" t="s">
        <v>311</v>
      </c>
      <c r="H43" s="184" t="s">
        <v>29</v>
      </c>
      <c r="J43" s="187">
        <v>30</v>
      </c>
      <c r="K43" s="187">
        <v>1</v>
      </c>
    </row>
    <row r="44" spans="1:14" x14ac:dyDescent="0.2">
      <c r="A44" s="194">
        <v>43198</v>
      </c>
      <c r="B44" s="194">
        <v>43233</v>
      </c>
      <c r="C44" s="187">
        <f t="shared" si="2"/>
        <v>35</v>
      </c>
      <c r="D44" s="194">
        <v>43247</v>
      </c>
      <c r="E44" s="187">
        <f t="shared" si="3"/>
        <v>49</v>
      </c>
      <c r="F44" s="184" t="s">
        <v>299</v>
      </c>
      <c r="G44" s="184" t="s">
        <v>311</v>
      </c>
      <c r="H44" s="184" t="s">
        <v>29</v>
      </c>
      <c r="I44" s="187">
        <v>7</v>
      </c>
      <c r="J44" s="187">
        <v>79</v>
      </c>
      <c r="K44" s="187">
        <v>21</v>
      </c>
      <c r="L44" s="188">
        <f>SUM(I44,J44:K46)</f>
        <v>129</v>
      </c>
      <c r="M44" s="208">
        <v>6</v>
      </c>
      <c r="N44" s="184" t="s">
        <v>423</v>
      </c>
    </row>
    <row r="45" spans="1:14" x14ac:dyDescent="0.2">
      <c r="A45" s="194">
        <v>43198</v>
      </c>
      <c r="B45" s="194">
        <v>43233</v>
      </c>
      <c r="C45" s="187">
        <f t="shared" si="2"/>
        <v>35</v>
      </c>
      <c r="D45" s="194">
        <v>43247</v>
      </c>
      <c r="E45" s="187">
        <f t="shared" si="3"/>
        <v>49</v>
      </c>
      <c r="F45" s="184" t="s">
        <v>300</v>
      </c>
      <c r="G45" s="184" t="s">
        <v>311</v>
      </c>
      <c r="H45" s="184" t="s">
        <v>29</v>
      </c>
      <c r="J45" s="187">
        <v>18</v>
      </c>
      <c r="K45" s="187">
        <v>1</v>
      </c>
    </row>
    <row r="46" spans="1:14" x14ac:dyDescent="0.2">
      <c r="A46" s="194">
        <v>43198</v>
      </c>
      <c r="B46" s="194">
        <v>43233</v>
      </c>
      <c r="C46" s="187">
        <f t="shared" si="2"/>
        <v>35</v>
      </c>
      <c r="D46" s="194">
        <v>43247</v>
      </c>
      <c r="E46" s="187">
        <f t="shared" si="3"/>
        <v>49</v>
      </c>
      <c r="F46" s="184" t="s">
        <v>301</v>
      </c>
      <c r="G46" s="184" t="s">
        <v>311</v>
      </c>
      <c r="H46" s="184" t="s">
        <v>29</v>
      </c>
      <c r="J46" s="187">
        <v>3</v>
      </c>
      <c r="K46" s="187">
        <v>0</v>
      </c>
    </row>
    <row r="47" spans="1:14" x14ac:dyDescent="0.2">
      <c r="A47" s="194">
        <v>43192</v>
      </c>
      <c r="B47" s="194">
        <v>43228</v>
      </c>
      <c r="C47" s="187">
        <f t="shared" si="2"/>
        <v>36</v>
      </c>
      <c r="D47" s="194">
        <v>43243</v>
      </c>
      <c r="E47" s="187">
        <f t="shared" si="3"/>
        <v>51</v>
      </c>
      <c r="F47" s="184" t="s">
        <v>248</v>
      </c>
      <c r="G47" s="184" t="s">
        <v>311</v>
      </c>
      <c r="H47" s="184" t="s">
        <v>29</v>
      </c>
      <c r="I47" s="187">
        <v>25</v>
      </c>
      <c r="J47" s="187">
        <v>19</v>
      </c>
      <c r="K47" s="187">
        <v>6</v>
      </c>
      <c r="L47" s="188">
        <f>SUM(I47,J47:K49)</f>
        <v>75</v>
      </c>
      <c r="M47" s="208">
        <v>5</v>
      </c>
      <c r="N47" s="208">
        <v>4</v>
      </c>
    </row>
    <row r="48" spans="1:14" x14ac:dyDescent="0.2">
      <c r="A48" s="194">
        <v>43192</v>
      </c>
      <c r="B48" s="194">
        <v>43228</v>
      </c>
      <c r="C48" s="187">
        <f t="shared" si="2"/>
        <v>36</v>
      </c>
      <c r="D48" s="194">
        <v>43243</v>
      </c>
      <c r="E48" s="187">
        <f t="shared" si="3"/>
        <v>51</v>
      </c>
      <c r="F48" s="184" t="s">
        <v>249</v>
      </c>
      <c r="G48" s="184" t="s">
        <v>311</v>
      </c>
      <c r="H48" s="184" t="s">
        <v>29</v>
      </c>
      <c r="J48" s="187">
        <v>13</v>
      </c>
      <c r="K48" s="187">
        <v>0</v>
      </c>
    </row>
    <row r="49" spans="1:14" x14ac:dyDescent="0.2">
      <c r="A49" s="194">
        <v>43192</v>
      </c>
      <c r="B49" s="194">
        <v>43228</v>
      </c>
      <c r="C49" s="187">
        <f t="shared" si="2"/>
        <v>36</v>
      </c>
      <c r="D49" s="194">
        <v>43243</v>
      </c>
      <c r="E49" s="187">
        <f t="shared" si="3"/>
        <v>51</v>
      </c>
      <c r="F49" s="184" t="s">
        <v>250</v>
      </c>
      <c r="G49" s="184" t="s">
        <v>311</v>
      </c>
      <c r="H49" s="184" t="s">
        <v>29</v>
      </c>
      <c r="J49" s="187">
        <v>11</v>
      </c>
      <c r="K49" s="187">
        <v>1</v>
      </c>
    </row>
    <row r="50" spans="1:14" x14ac:dyDescent="0.2">
      <c r="A50" s="194">
        <v>43202</v>
      </c>
      <c r="B50" s="194">
        <v>43240</v>
      </c>
      <c r="C50" s="187">
        <f t="shared" si="2"/>
        <v>38</v>
      </c>
      <c r="D50" s="194">
        <v>43253</v>
      </c>
      <c r="E50" s="187">
        <f t="shared" si="3"/>
        <v>51</v>
      </c>
      <c r="F50" s="184" t="s">
        <v>338</v>
      </c>
      <c r="G50" s="184" t="s">
        <v>311</v>
      </c>
      <c r="H50" s="184" t="s">
        <v>29</v>
      </c>
      <c r="I50" s="187">
        <v>1</v>
      </c>
      <c r="J50" s="187">
        <v>0</v>
      </c>
      <c r="K50" s="187">
        <v>0</v>
      </c>
      <c r="L50" s="188">
        <f>SUM(I50,J50:K52)</f>
        <v>2</v>
      </c>
      <c r="M50" s="184" t="s">
        <v>423</v>
      </c>
      <c r="N50" s="184" t="s">
        <v>423</v>
      </c>
    </row>
    <row r="51" spans="1:14" x14ac:dyDescent="0.2">
      <c r="A51" s="194">
        <v>43202</v>
      </c>
      <c r="B51" s="194">
        <v>43240</v>
      </c>
      <c r="C51" s="187">
        <f t="shared" si="2"/>
        <v>38</v>
      </c>
      <c r="D51" s="194">
        <v>43253</v>
      </c>
      <c r="E51" s="187">
        <f t="shared" si="3"/>
        <v>51</v>
      </c>
      <c r="F51" s="184" t="s">
        <v>339</v>
      </c>
      <c r="G51" s="184" t="s">
        <v>311</v>
      </c>
      <c r="H51" s="184" t="s">
        <v>29</v>
      </c>
      <c r="J51" s="187">
        <v>0</v>
      </c>
      <c r="K51" s="187">
        <v>0</v>
      </c>
    </row>
    <row r="52" spans="1:14" x14ac:dyDescent="0.2">
      <c r="A52" s="194">
        <v>43202</v>
      </c>
      <c r="B52" s="194">
        <v>43240</v>
      </c>
      <c r="C52" s="187">
        <f t="shared" si="2"/>
        <v>38</v>
      </c>
      <c r="D52" s="194">
        <v>43253</v>
      </c>
      <c r="E52" s="187">
        <f t="shared" si="3"/>
        <v>51</v>
      </c>
      <c r="F52" s="184" t="s">
        <v>340</v>
      </c>
      <c r="G52" s="184" t="s">
        <v>311</v>
      </c>
      <c r="H52" s="184" t="s">
        <v>29</v>
      </c>
      <c r="J52" s="187">
        <v>1</v>
      </c>
      <c r="K52" s="187">
        <v>0</v>
      </c>
    </row>
    <row r="53" spans="1:14" x14ac:dyDescent="0.2">
      <c r="A53" s="194">
        <v>43200</v>
      </c>
      <c r="B53" s="194">
        <v>43235</v>
      </c>
      <c r="C53" s="187">
        <f t="shared" si="2"/>
        <v>35</v>
      </c>
      <c r="D53" s="194">
        <v>43249</v>
      </c>
      <c r="E53" s="187">
        <f t="shared" si="3"/>
        <v>49</v>
      </c>
      <c r="F53" s="184" t="s">
        <v>374</v>
      </c>
      <c r="G53" s="184" t="s">
        <v>311</v>
      </c>
      <c r="H53" s="184" t="s">
        <v>29</v>
      </c>
      <c r="I53" s="187">
        <v>6</v>
      </c>
      <c r="J53" s="187">
        <v>26</v>
      </c>
      <c r="K53" s="187">
        <v>2</v>
      </c>
      <c r="L53" s="188">
        <f>SUM(I53,J53:K55)</f>
        <v>125</v>
      </c>
      <c r="M53" s="208">
        <v>4</v>
      </c>
      <c r="N53" s="208">
        <v>0</v>
      </c>
    </row>
    <row r="54" spans="1:14" x14ac:dyDescent="0.2">
      <c r="A54" s="194">
        <v>43200</v>
      </c>
      <c r="B54" s="194">
        <v>43235</v>
      </c>
      <c r="C54" s="187">
        <f t="shared" si="2"/>
        <v>35</v>
      </c>
      <c r="D54" s="194">
        <v>43249</v>
      </c>
      <c r="E54" s="187">
        <f t="shared" si="3"/>
        <v>49</v>
      </c>
      <c r="F54" s="184" t="s">
        <v>375</v>
      </c>
      <c r="G54" s="184" t="s">
        <v>311</v>
      </c>
      <c r="H54" s="184" t="s">
        <v>29</v>
      </c>
      <c r="J54" s="187">
        <v>60</v>
      </c>
      <c r="K54" s="187">
        <v>2</v>
      </c>
    </row>
    <row r="55" spans="1:14" x14ac:dyDescent="0.2">
      <c r="A55" s="194">
        <v>43200</v>
      </c>
      <c r="B55" s="194">
        <v>43235</v>
      </c>
      <c r="C55" s="187">
        <f t="shared" si="2"/>
        <v>35</v>
      </c>
      <c r="D55" s="194">
        <v>43249</v>
      </c>
      <c r="E55" s="187">
        <f t="shared" si="3"/>
        <v>49</v>
      </c>
      <c r="F55" s="184" t="s">
        <v>376</v>
      </c>
      <c r="G55" s="184" t="s">
        <v>311</v>
      </c>
      <c r="H55" s="184" t="s">
        <v>29</v>
      </c>
      <c r="J55" s="187">
        <v>28</v>
      </c>
      <c r="K55" s="187">
        <v>1</v>
      </c>
    </row>
    <row r="56" spans="1:14" x14ac:dyDescent="0.2">
      <c r="A56" s="194">
        <v>43199</v>
      </c>
      <c r="B56" s="194">
        <v>43235</v>
      </c>
      <c r="C56" s="187">
        <f t="shared" si="2"/>
        <v>36</v>
      </c>
      <c r="D56" s="194">
        <v>43249</v>
      </c>
      <c r="E56" s="187">
        <f t="shared" si="3"/>
        <v>50</v>
      </c>
      <c r="F56" s="184" t="s">
        <v>323</v>
      </c>
      <c r="G56" s="184" t="s">
        <v>311</v>
      </c>
      <c r="H56" s="184" t="s">
        <v>36</v>
      </c>
      <c r="I56" s="187">
        <v>7</v>
      </c>
      <c r="J56" s="187">
        <v>31</v>
      </c>
      <c r="K56" s="187">
        <v>8</v>
      </c>
      <c r="L56" s="188">
        <f>SUM(I56,J56:K58)</f>
        <v>139</v>
      </c>
      <c r="M56" s="208">
        <v>1</v>
      </c>
      <c r="N56" s="184" t="s">
        <v>423</v>
      </c>
    </row>
    <row r="57" spans="1:14" x14ac:dyDescent="0.2">
      <c r="A57" s="194">
        <v>43199</v>
      </c>
      <c r="B57" s="194">
        <v>43235</v>
      </c>
      <c r="C57" s="187">
        <f t="shared" si="2"/>
        <v>36</v>
      </c>
      <c r="D57" s="194">
        <v>43249</v>
      </c>
      <c r="E57" s="187">
        <f t="shared" si="3"/>
        <v>50</v>
      </c>
      <c r="F57" s="184" t="s">
        <v>324</v>
      </c>
      <c r="G57" s="184" t="s">
        <v>311</v>
      </c>
      <c r="H57" s="184" t="s">
        <v>36</v>
      </c>
      <c r="J57" s="187">
        <v>49</v>
      </c>
      <c r="K57" s="187">
        <v>1</v>
      </c>
    </row>
    <row r="58" spans="1:14" x14ac:dyDescent="0.2">
      <c r="A58" s="194">
        <v>43199</v>
      </c>
      <c r="B58" s="194">
        <v>43235</v>
      </c>
      <c r="C58" s="187">
        <f t="shared" si="2"/>
        <v>36</v>
      </c>
      <c r="D58" s="194">
        <v>43249</v>
      </c>
      <c r="E58" s="187">
        <f t="shared" si="3"/>
        <v>50</v>
      </c>
      <c r="F58" s="184" t="s">
        <v>325</v>
      </c>
      <c r="G58" s="184" t="s">
        <v>311</v>
      </c>
      <c r="H58" s="184" t="s">
        <v>36</v>
      </c>
      <c r="J58" s="187">
        <v>39</v>
      </c>
      <c r="K58" s="187">
        <v>4</v>
      </c>
    </row>
    <row r="59" spans="1:14" x14ac:dyDescent="0.2">
      <c r="A59" s="194">
        <v>43201</v>
      </c>
      <c r="B59" s="194">
        <v>43240</v>
      </c>
      <c r="C59" s="187">
        <f t="shared" si="2"/>
        <v>39</v>
      </c>
      <c r="D59" s="194">
        <v>43253</v>
      </c>
      <c r="E59" s="187">
        <f t="shared" si="3"/>
        <v>52</v>
      </c>
      <c r="F59" s="184" t="s">
        <v>335</v>
      </c>
      <c r="G59" s="184" t="s">
        <v>311</v>
      </c>
      <c r="H59" s="184" t="s">
        <v>36</v>
      </c>
      <c r="I59" s="187">
        <v>47</v>
      </c>
      <c r="J59" s="187">
        <v>57</v>
      </c>
      <c r="K59" s="187">
        <v>2</v>
      </c>
      <c r="L59" s="188">
        <f>SUM(I59,J59:K61)</f>
        <v>418</v>
      </c>
      <c r="M59" s="208">
        <v>9</v>
      </c>
      <c r="N59" s="208">
        <v>0</v>
      </c>
    </row>
    <row r="60" spans="1:14" x14ac:dyDescent="0.2">
      <c r="A60" s="194">
        <v>43201</v>
      </c>
      <c r="B60" s="194">
        <v>43240</v>
      </c>
      <c r="C60" s="187">
        <f t="shared" si="2"/>
        <v>39</v>
      </c>
      <c r="D60" s="194">
        <v>43253</v>
      </c>
      <c r="E60" s="187">
        <f t="shared" si="3"/>
        <v>52</v>
      </c>
      <c r="F60" s="184" t="s">
        <v>336</v>
      </c>
      <c r="G60" s="184" t="s">
        <v>311</v>
      </c>
      <c r="H60" s="184" t="s">
        <v>36</v>
      </c>
      <c r="J60" s="187">
        <v>124</v>
      </c>
      <c r="K60" s="187">
        <v>4</v>
      </c>
    </row>
    <row r="61" spans="1:14" x14ac:dyDescent="0.2">
      <c r="A61" s="194">
        <v>43201</v>
      </c>
      <c r="B61" s="194">
        <v>43240</v>
      </c>
      <c r="C61" s="187">
        <f t="shared" si="2"/>
        <v>39</v>
      </c>
      <c r="D61" s="194">
        <v>43253</v>
      </c>
      <c r="E61" s="187">
        <f t="shared" si="3"/>
        <v>52</v>
      </c>
      <c r="F61" s="184" t="s">
        <v>337</v>
      </c>
      <c r="G61" s="184" t="s">
        <v>311</v>
      </c>
      <c r="H61" s="184" t="s">
        <v>36</v>
      </c>
      <c r="J61" s="187">
        <v>174</v>
      </c>
      <c r="K61" s="187">
        <v>10</v>
      </c>
    </row>
    <row r="62" spans="1:14" x14ac:dyDescent="0.2">
      <c r="A62" s="194">
        <v>43192</v>
      </c>
      <c r="B62" s="194">
        <v>43228</v>
      </c>
      <c r="C62" s="187">
        <f t="shared" si="2"/>
        <v>36</v>
      </c>
      <c r="D62" s="194">
        <v>43243</v>
      </c>
      <c r="E62" s="187">
        <f t="shared" si="3"/>
        <v>51</v>
      </c>
      <c r="F62" s="184" t="s">
        <v>239</v>
      </c>
      <c r="G62" s="184" t="s">
        <v>311</v>
      </c>
      <c r="H62" s="184" t="s">
        <v>36</v>
      </c>
      <c r="I62" s="187">
        <v>26</v>
      </c>
      <c r="J62" s="187">
        <v>26</v>
      </c>
      <c r="K62" s="187">
        <v>1</v>
      </c>
      <c r="L62" s="188">
        <f>SUM(I62,J62:K64)</f>
        <v>96</v>
      </c>
      <c r="M62" s="208">
        <v>2</v>
      </c>
      <c r="N62" s="208">
        <v>5</v>
      </c>
    </row>
    <row r="63" spans="1:14" x14ac:dyDescent="0.2">
      <c r="A63" s="194">
        <v>43192</v>
      </c>
      <c r="B63" s="194">
        <v>43228</v>
      </c>
      <c r="C63" s="187">
        <f t="shared" si="2"/>
        <v>36</v>
      </c>
      <c r="D63" s="194">
        <v>43243</v>
      </c>
      <c r="E63" s="187">
        <f t="shared" si="3"/>
        <v>51</v>
      </c>
      <c r="F63" s="184" t="s">
        <v>240</v>
      </c>
      <c r="G63" s="184" t="s">
        <v>311</v>
      </c>
      <c r="H63" s="184" t="s">
        <v>36</v>
      </c>
      <c r="J63" s="187">
        <v>24</v>
      </c>
      <c r="K63" s="187">
        <v>1</v>
      </c>
    </row>
    <row r="64" spans="1:14" x14ac:dyDescent="0.2">
      <c r="A64" s="194">
        <v>43192</v>
      </c>
      <c r="B64" s="194">
        <v>43228</v>
      </c>
      <c r="C64" s="187">
        <f t="shared" si="2"/>
        <v>36</v>
      </c>
      <c r="D64" s="194">
        <v>43243</v>
      </c>
      <c r="E64" s="187">
        <f t="shared" si="3"/>
        <v>51</v>
      </c>
      <c r="F64" s="184" t="s">
        <v>241</v>
      </c>
      <c r="G64" s="184" t="s">
        <v>311</v>
      </c>
      <c r="H64" s="184" t="s">
        <v>36</v>
      </c>
      <c r="J64" s="187">
        <v>18</v>
      </c>
      <c r="K64" s="187">
        <v>0</v>
      </c>
    </row>
    <row r="65" spans="1:14" x14ac:dyDescent="0.2">
      <c r="A65" s="194">
        <v>43206</v>
      </c>
      <c r="B65" s="194">
        <v>43243</v>
      </c>
      <c r="C65" s="187">
        <f t="shared" si="2"/>
        <v>37</v>
      </c>
      <c r="D65" s="194">
        <v>43256</v>
      </c>
      <c r="E65" s="187">
        <f t="shared" si="3"/>
        <v>50</v>
      </c>
      <c r="F65" s="184" t="s">
        <v>365</v>
      </c>
      <c r="G65" s="184" t="s">
        <v>311</v>
      </c>
      <c r="H65" s="184" t="s">
        <v>36</v>
      </c>
      <c r="I65" s="187">
        <v>9</v>
      </c>
      <c r="J65" s="187">
        <v>51</v>
      </c>
      <c r="K65" s="187">
        <v>2</v>
      </c>
      <c r="L65" s="188">
        <f>SUM(I65,J65:K67)</f>
        <v>160</v>
      </c>
      <c r="M65" s="184" t="s">
        <v>423</v>
      </c>
      <c r="N65" s="184" t="s">
        <v>423</v>
      </c>
    </row>
    <row r="66" spans="1:14" x14ac:dyDescent="0.2">
      <c r="A66" s="194">
        <v>43206</v>
      </c>
      <c r="B66" s="194">
        <v>43243</v>
      </c>
      <c r="C66" s="187">
        <f t="shared" ref="C66:C97" si="4">B66-A66</f>
        <v>37</v>
      </c>
      <c r="D66" s="194">
        <v>43256</v>
      </c>
      <c r="E66" s="187">
        <f t="shared" ref="E66:E97" si="5">D66-A66</f>
        <v>50</v>
      </c>
      <c r="F66" s="184" t="s">
        <v>366</v>
      </c>
      <c r="G66" s="184" t="s">
        <v>311</v>
      </c>
      <c r="H66" s="184" t="s">
        <v>36</v>
      </c>
      <c r="J66" s="187">
        <v>64</v>
      </c>
      <c r="K66" s="187">
        <v>0</v>
      </c>
    </row>
    <row r="67" spans="1:14" x14ac:dyDescent="0.2">
      <c r="A67" s="194">
        <v>43206</v>
      </c>
      <c r="B67" s="194">
        <v>43243</v>
      </c>
      <c r="C67" s="187">
        <f t="shared" si="4"/>
        <v>37</v>
      </c>
      <c r="D67" s="194">
        <v>43256</v>
      </c>
      <c r="E67" s="187">
        <f t="shared" si="5"/>
        <v>50</v>
      </c>
      <c r="F67" s="184" t="s">
        <v>367</v>
      </c>
      <c r="G67" s="184" t="s">
        <v>311</v>
      </c>
      <c r="H67" s="184" t="s">
        <v>36</v>
      </c>
      <c r="J67" s="187">
        <v>31</v>
      </c>
      <c r="K67" s="187">
        <v>3</v>
      </c>
    </row>
    <row r="68" spans="1:14" x14ac:dyDescent="0.2">
      <c r="A68" s="194">
        <v>43197</v>
      </c>
      <c r="B68" s="194">
        <v>43233</v>
      </c>
      <c r="C68" s="187">
        <f t="shared" si="4"/>
        <v>36</v>
      </c>
      <c r="D68" s="194">
        <v>43247</v>
      </c>
      <c r="E68" s="187">
        <f t="shared" si="5"/>
        <v>50</v>
      </c>
      <c r="F68" s="184" t="s">
        <v>269</v>
      </c>
      <c r="G68" s="184" t="s">
        <v>311</v>
      </c>
      <c r="H68" s="184" t="s">
        <v>36</v>
      </c>
      <c r="I68" s="187">
        <v>55</v>
      </c>
      <c r="J68" s="187">
        <v>73</v>
      </c>
      <c r="K68" s="187">
        <v>0</v>
      </c>
      <c r="L68" s="188">
        <f>SUM(I68,J68:K70)</f>
        <v>316</v>
      </c>
      <c r="M68" s="208">
        <v>4</v>
      </c>
      <c r="N68" s="208">
        <v>1</v>
      </c>
    </row>
    <row r="69" spans="1:14" x14ac:dyDescent="0.2">
      <c r="A69" s="194">
        <v>43197</v>
      </c>
      <c r="B69" s="194">
        <v>43233</v>
      </c>
      <c r="C69" s="187">
        <f t="shared" si="4"/>
        <v>36</v>
      </c>
      <c r="D69" s="194">
        <v>43247</v>
      </c>
      <c r="E69" s="187">
        <f t="shared" si="5"/>
        <v>50</v>
      </c>
      <c r="F69" s="184" t="s">
        <v>270</v>
      </c>
      <c r="G69" s="184" t="s">
        <v>311</v>
      </c>
      <c r="H69" s="184" t="s">
        <v>36</v>
      </c>
      <c r="J69" s="187">
        <v>70</v>
      </c>
      <c r="K69" s="187">
        <v>1</v>
      </c>
    </row>
    <row r="70" spans="1:14" x14ac:dyDescent="0.2">
      <c r="A70" s="194">
        <v>43197</v>
      </c>
      <c r="B70" s="194">
        <v>43233</v>
      </c>
      <c r="C70" s="187">
        <f t="shared" si="4"/>
        <v>36</v>
      </c>
      <c r="D70" s="194">
        <v>43247</v>
      </c>
      <c r="E70" s="187">
        <f t="shared" si="5"/>
        <v>50</v>
      </c>
      <c r="F70" s="184" t="s">
        <v>271</v>
      </c>
      <c r="G70" s="184" t="s">
        <v>311</v>
      </c>
      <c r="H70" s="184" t="s">
        <v>36</v>
      </c>
      <c r="J70" s="187">
        <v>115</v>
      </c>
      <c r="K70" s="187">
        <v>2</v>
      </c>
    </row>
    <row r="71" spans="1:14" x14ac:dyDescent="0.2">
      <c r="A71" s="194">
        <v>43197</v>
      </c>
      <c r="B71" s="194">
        <v>43233</v>
      </c>
      <c r="C71" s="187">
        <f t="shared" si="4"/>
        <v>36</v>
      </c>
      <c r="D71" s="194">
        <v>43247</v>
      </c>
      <c r="E71" s="187">
        <f t="shared" si="5"/>
        <v>50</v>
      </c>
      <c r="F71" s="184" t="s">
        <v>272</v>
      </c>
      <c r="G71" s="184" t="s">
        <v>311</v>
      </c>
      <c r="H71" s="184" t="s">
        <v>36</v>
      </c>
      <c r="I71" s="187">
        <v>16</v>
      </c>
      <c r="J71" s="187">
        <v>58</v>
      </c>
      <c r="K71" s="187">
        <v>5</v>
      </c>
      <c r="L71" s="188">
        <f>SUM(I71,J71:K73)</f>
        <v>188</v>
      </c>
      <c r="M71" s="208">
        <v>2</v>
      </c>
      <c r="N71" s="208">
        <v>5</v>
      </c>
    </row>
    <row r="72" spans="1:14" x14ac:dyDescent="0.2">
      <c r="A72" s="194">
        <v>43197</v>
      </c>
      <c r="B72" s="194">
        <v>43233</v>
      </c>
      <c r="C72" s="187">
        <f t="shared" si="4"/>
        <v>36</v>
      </c>
      <c r="D72" s="194">
        <v>43247</v>
      </c>
      <c r="E72" s="187">
        <f t="shared" si="5"/>
        <v>50</v>
      </c>
      <c r="F72" s="184" t="s">
        <v>273</v>
      </c>
      <c r="G72" s="184" t="s">
        <v>311</v>
      </c>
      <c r="H72" s="184" t="s">
        <v>36</v>
      </c>
      <c r="J72" s="187">
        <v>49</v>
      </c>
      <c r="K72" s="187">
        <v>5</v>
      </c>
    </row>
    <row r="73" spans="1:14" x14ac:dyDescent="0.2">
      <c r="A73" s="194">
        <v>43197</v>
      </c>
      <c r="B73" s="194">
        <v>43233</v>
      </c>
      <c r="C73" s="187">
        <f t="shared" si="4"/>
        <v>36</v>
      </c>
      <c r="D73" s="194">
        <v>43247</v>
      </c>
      <c r="E73" s="187">
        <f t="shared" si="5"/>
        <v>50</v>
      </c>
      <c r="F73" s="184" t="s">
        <v>274</v>
      </c>
      <c r="G73" s="184" t="s">
        <v>311</v>
      </c>
      <c r="H73" s="184" t="s">
        <v>36</v>
      </c>
      <c r="J73" s="187">
        <v>52</v>
      </c>
      <c r="K73" s="187">
        <v>3</v>
      </c>
    </row>
    <row r="74" spans="1:14" x14ac:dyDescent="0.2">
      <c r="A74" s="194">
        <v>43195</v>
      </c>
      <c r="B74" s="194">
        <v>43230</v>
      </c>
      <c r="C74" s="187">
        <f t="shared" si="4"/>
        <v>35</v>
      </c>
      <c r="D74" s="194">
        <v>43247</v>
      </c>
      <c r="E74" s="187">
        <f t="shared" si="5"/>
        <v>52</v>
      </c>
      <c r="F74" s="184" t="s">
        <v>260</v>
      </c>
      <c r="G74" s="184" t="s">
        <v>314</v>
      </c>
      <c r="H74" s="184" t="s">
        <v>82</v>
      </c>
      <c r="I74" s="187">
        <v>20</v>
      </c>
      <c r="J74" s="187">
        <v>66</v>
      </c>
      <c r="K74" s="187">
        <v>0</v>
      </c>
      <c r="L74" s="188">
        <f>SUM(I74,J74:K76)</f>
        <v>139</v>
      </c>
      <c r="M74" s="208">
        <v>0</v>
      </c>
      <c r="N74" s="208">
        <v>0</v>
      </c>
    </row>
    <row r="75" spans="1:14" x14ac:dyDescent="0.2">
      <c r="A75" s="194">
        <v>43195</v>
      </c>
      <c r="B75" s="194">
        <v>43230</v>
      </c>
      <c r="C75" s="187">
        <f t="shared" si="4"/>
        <v>35</v>
      </c>
      <c r="D75" s="194">
        <v>43247</v>
      </c>
      <c r="E75" s="187">
        <f t="shared" si="5"/>
        <v>52</v>
      </c>
      <c r="F75" s="184" t="s">
        <v>261</v>
      </c>
      <c r="G75" s="184" t="s">
        <v>314</v>
      </c>
      <c r="H75" s="184" t="s">
        <v>82</v>
      </c>
      <c r="J75" s="187">
        <v>40</v>
      </c>
      <c r="K75" s="187">
        <v>1</v>
      </c>
    </row>
    <row r="76" spans="1:14" x14ac:dyDescent="0.2">
      <c r="A76" s="194">
        <v>43195</v>
      </c>
      <c r="B76" s="194">
        <v>43230</v>
      </c>
      <c r="C76" s="187">
        <f t="shared" si="4"/>
        <v>35</v>
      </c>
      <c r="D76" s="194">
        <v>43247</v>
      </c>
      <c r="E76" s="187">
        <f t="shared" si="5"/>
        <v>52</v>
      </c>
      <c r="F76" s="184" t="s">
        <v>262</v>
      </c>
      <c r="G76" s="184" t="s">
        <v>314</v>
      </c>
      <c r="H76" s="184" t="s">
        <v>82</v>
      </c>
      <c r="J76" s="187">
        <v>12</v>
      </c>
      <c r="K76" s="187">
        <v>0</v>
      </c>
    </row>
    <row r="77" spans="1:14" x14ac:dyDescent="0.2">
      <c r="A77" s="194">
        <v>43197</v>
      </c>
      <c r="B77" s="194">
        <v>43233</v>
      </c>
      <c r="C77" s="187">
        <f t="shared" si="4"/>
        <v>36</v>
      </c>
      <c r="D77" s="194">
        <v>43247</v>
      </c>
      <c r="E77" s="187">
        <f t="shared" si="5"/>
        <v>50</v>
      </c>
      <c r="F77" s="184" t="s">
        <v>284</v>
      </c>
      <c r="G77" s="184" t="s">
        <v>314</v>
      </c>
      <c r="H77" s="184" t="s">
        <v>82</v>
      </c>
      <c r="I77" s="187">
        <v>15</v>
      </c>
      <c r="J77" s="187">
        <v>11</v>
      </c>
      <c r="K77" s="187">
        <v>0</v>
      </c>
      <c r="L77" s="188">
        <f>SUM(I77,J77:K79)</f>
        <v>136</v>
      </c>
      <c r="M77" s="208">
        <v>1</v>
      </c>
      <c r="N77" s="208">
        <v>4</v>
      </c>
    </row>
    <row r="78" spans="1:14" x14ac:dyDescent="0.2">
      <c r="A78" s="194">
        <v>43197</v>
      </c>
      <c r="B78" s="194">
        <v>43233</v>
      </c>
      <c r="C78" s="187">
        <f t="shared" si="4"/>
        <v>36</v>
      </c>
      <c r="D78" s="194">
        <v>43247</v>
      </c>
      <c r="E78" s="187">
        <f t="shared" si="5"/>
        <v>50</v>
      </c>
      <c r="F78" s="184" t="s">
        <v>285</v>
      </c>
      <c r="G78" s="184" t="s">
        <v>314</v>
      </c>
      <c r="H78" s="184" t="s">
        <v>82</v>
      </c>
      <c r="J78" s="187">
        <v>50</v>
      </c>
      <c r="K78" s="187">
        <v>7</v>
      </c>
    </row>
    <row r="79" spans="1:14" x14ac:dyDescent="0.2">
      <c r="A79" s="194">
        <v>43197</v>
      </c>
      <c r="B79" s="194">
        <v>43233</v>
      </c>
      <c r="C79" s="187">
        <f t="shared" si="4"/>
        <v>36</v>
      </c>
      <c r="D79" s="194">
        <v>43247</v>
      </c>
      <c r="E79" s="187">
        <f t="shared" si="5"/>
        <v>50</v>
      </c>
      <c r="F79" s="184" t="s">
        <v>286</v>
      </c>
      <c r="G79" s="184" t="s">
        <v>314</v>
      </c>
      <c r="H79" s="184" t="s">
        <v>82</v>
      </c>
      <c r="J79" s="187">
        <v>51</v>
      </c>
      <c r="K79" s="187">
        <v>2</v>
      </c>
    </row>
    <row r="80" spans="1:14" x14ac:dyDescent="0.2">
      <c r="A80" s="194">
        <v>43198</v>
      </c>
      <c r="B80" s="194">
        <v>43233</v>
      </c>
      <c r="C80" s="187">
        <f t="shared" si="4"/>
        <v>35</v>
      </c>
      <c r="D80" s="194">
        <v>43247</v>
      </c>
      <c r="E80" s="187">
        <f t="shared" si="5"/>
        <v>49</v>
      </c>
      <c r="F80" s="184" t="s">
        <v>302</v>
      </c>
      <c r="G80" s="184" t="s">
        <v>314</v>
      </c>
      <c r="H80" s="184" t="s">
        <v>82</v>
      </c>
      <c r="I80" s="187">
        <v>3</v>
      </c>
      <c r="J80" s="187">
        <v>13</v>
      </c>
      <c r="K80" s="187">
        <v>2</v>
      </c>
      <c r="L80" s="188">
        <f>SUM(I80,J80:K82)</f>
        <v>38</v>
      </c>
      <c r="M80" s="208">
        <v>0</v>
      </c>
      <c r="N80" s="208">
        <v>2</v>
      </c>
    </row>
    <row r="81" spans="1:14" x14ac:dyDescent="0.2">
      <c r="A81" s="194">
        <v>43198</v>
      </c>
      <c r="B81" s="194">
        <v>43233</v>
      </c>
      <c r="C81" s="187">
        <f t="shared" si="4"/>
        <v>35</v>
      </c>
      <c r="D81" s="194">
        <v>43247</v>
      </c>
      <c r="E81" s="187">
        <f t="shared" si="5"/>
        <v>49</v>
      </c>
      <c r="F81" s="184" t="s">
        <v>303</v>
      </c>
      <c r="G81" s="184" t="s">
        <v>314</v>
      </c>
      <c r="H81" s="184" t="s">
        <v>82</v>
      </c>
      <c r="J81" s="187">
        <v>5</v>
      </c>
      <c r="K81" s="187">
        <v>0</v>
      </c>
    </row>
    <row r="82" spans="1:14" x14ac:dyDescent="0.2">
      <c r="A82" s="194">
        <v>43198</v>
      </c>
      <c r="B82" s="194">
        <v>43233</v>
      </c>
      <c r="C82" s="187">
        <f t="shared" si="4"/>
        <v>35</v>
      </c>
      <c r="D82" s="194">
        <v>43247</v>
      </c>
      <c r="E82" s="187">
        <f t="shared" si="5"/>
        <v>49</v>
      </c>
      <c r="F82" s="184" t="s">
        <v>304</v>
      </c>
      <c r="G82" s="184" t="s">
        <v>314</v>
      </c>
      <c r="H82" s="184" t="s">
        <v>82</v>
      </c>
      <c r="J82" s="187">
        <v>14</v>
      </c>
      <c r="K82" s="187">
        <v>1</v>
      </c>
    </row>
    <row r="83" spans="1:14" x14ac:dyDescent="0.2">
      <c r="A83" s="194">
        <v>43199</v>
      </c>
      <c r="B83" s="194">
        <v>43235</v>
      </c>
      <c r="C83" s="187">
        <f t="shared" si="4"/>
        <v>36</v>
      </c>
      <c r="D83" s="194">
        <v>43249</v>
      </c>
      <c r="E83" s="187">
        <f t="shared" si="5"/>
        <v>50</v>
      </c>
      <c r="F83" s="184" t="s">
        <v>320</v>
      </c>
      <c r="G83" s="184" t="s">
        <v>314</v>
      </c>
      <c r="H83" s="184" t="s">
        <v>82</v>
      </c>
      <c r="I83" s="187">
        <v>27</v>
      </c>
      <c r="J83" s="187">
        <v>17</v>
      </c>
      <c r="K83" s="187">
        <v>1</v>
      </c>
      <c r="L83" s="188">
        <f>SUM(I83,J83:K85)</f>
        <v>139</v>
      </c>
      <c r="M83" s="208">
        <v>10</v>
      </c>
      <c r="N83" s="208">
        <v>3</v>
      </c>
    </row>
    <row r="84" spans="1:14" x14ac:dyDescent="0.2">
      <c r="A84" s="194">
        <v>43199</v>
      </c>
      <c r="B84" s="194">
        <v>43235</v>
      </c>
      <c r="C84" s="187">
        <f t="shared" si="4"/>
        <v>36</v>
      </c>
      <c r="D84" s="194">
        <v>43249</v>
      </c>
      <c r="E84" s="187">
        <f t="shared" si="5"/>
        <v>50</v>
      </c>
      <c r="F84" s="184" t="s">
        <v>321</v>
      </c>
      <c r="G84" s="184" t="s">
        <v>314</v>
      </c>
      <c r="H84" s="184" t="s">
        <v>82</v>
      </c>
      <c r="J84" s="187">
        <v>52</v>
      </c>
      <c r="K84" s="187">
        <v>5</v>
      </c>
    </row>
    <row r="85" spans="1:14" x14ac:dyDescent="0.2">
      <c r="A85" s="194">
        <v>43199</v>
      </c>
      <c r="B85" s="194">
        <v>43235</v>
      </c>
      <c r="C85" s="187">
        <f t="shared" si="4"/>
        <v>36</v>
      </c>
      <c r="D85" s="194">
        <v>43249</v>
      </c>
      <c r="E85" s="187">
        <f t="shared" si="5"/>
        <v>50</v>
      </c>
      <c r="F85" s="184" t="s">
        <v>322</v>
      </c>
      <c r="G85" s="184" t="s">
        <v>314</v>
      </c>
      <c r="H85" s="193" t="s">
        <v>82</v>
      </c>
      <c r="J85" s="187">
        <v>33</v>
      </c>
      <c r="K85" s="187">
        <v>4</v>
      </c>
    </row>
    <row r="86" spans="1:14" x14ac:dyDescent="0.2">
      <c r="A86" s="194">
        <v>43200</v>
      </c>
      <c r="B86" s="194">
        <v>43235</v>
      </c>
      <c r="C86" s="187">
        <f t="shared" si="4"/>
        <v>35</v>
      </c>
      <c r="D86" s="194">
        <v>43249</v>
      </c>
      <c r="E86" s="187">
        <f t="shared" si="5"/>
        <v>49</v>
      </c>
      <c r="F86" s="184" t="s">
        <v>332</v>
      </c>
      <c r="G86" s="184" t="s">
        <v>314</v>
      </c>
      <c r="H86" s="184" t="s">
        <v>82</v>
      </c>
      <c r="I86" s="187">
        <v>7</v>
      </c>
      <c r="J86" s="187">
        <v>3</v>
      </c>
      <c r="K86" s="187">
        <v>2</v>
      </c>
      <c r="L86" s="188">
        <f>SUM(I86,J86:K88)</f>
        <v>69</v>
      </c>
      <c r="M86" s="208">
        <v>4</v>
      </c>
      <c r="N86" s="184" t="s">
        <v>423</v>
      </c>
    </row>
    <row r="87" spans="1:14" x14ac:dyDescent="0.2">
      <c r="A87" s="194">
        <v>43200</v>
      </c>
      <c r="B87" s="194">
        <v>43235</v>
      </c>
      <c r="C87" s="187">
        <f t="shared" si="4"/>
        <v>35</v>
      </c>
      <c r="D87" s="194">
        <v>43249</v>
      </c>
      <c r="E87" s="187">
        <f t="shared" si="5"/>
        <v>49</v>
      </c>
      <c r="F87" s="184" t="s">
        <v>333</v>
      </c>
      <c r="G87" s="184" t="s">
        <v>314</v>
      </c>
      <c r="H87" s="184" t="s">
        <v>82</v>
      </c>
      <c r="J87" s="187">
        <v>18</v>
      </c>
      <c r="K87" s="187">
        <v>0</v>
      </c>
    </row>
    <row r="88" spans="1:14" x14ac:dyDescent="0.2">
      <c r="A88" s="194">
        <v>43200</v>
      </c>
      <c r="B88" s="194">
        <v>43235</v>
      </c>
      <c r="C88" s="187">
        <f t="shared" si="4"/>
        <v>35</v>
      </c>
      <c r="D88" s="194">
        <v>43249</v>
      </c>
      <c r="E88" s="187">
        <f t="shared" si="5"/>
        <v>49</v>
      </c>
      <c r="F88" s="184" t="s">
        <v>334</v>
      </c>
      <c r="G88" s="184" t="s">
        <v>314</v>
      </c>
      <c r="H88" s="184" t="s">
        <v>82</v>
      </c>
      <c r="J88" s="187">
        <v>36</v>
      </c>
      <c r="K88" s="187">
        <v>3</v>
      </c>
    </row>
    <row r="89" spans="1:14" x14ac:dyDescent="0.2">
      <c r="A89" s="194">
        <v>43204</v>
      </c>
      <c r="B89" s="194">
        <v>43240</v>
      </c>
      <c r="C89" s="187">
        <f t="shared" si="4"/>
        <v>36</v>
      </c>
      <c r="D89" s="194">
        <v>43253</v>
      </c>
      <c r="E89" s="187">
        <f t="shared" si="5"/>
        <v>49</v>
      </c>
      <c r="F89" s="184" t="s">
        <v>356</v>
      </c>
      <c r="G89" s="184" t="s">
        <v>314</v>
      </c>
      <c r="H89" s="184" t="s">
        <v>82</v>
      </c>
      <c r="I89" s="187">
        <v>5</v>
      </c>
      <c r="J89" s="187">
        <v>8</v>
      </c>
      <c r="K89" s="187">
        <v>0</v>
      </c>
      <c r="L89" s="188">
        <f>SUM(I89,J89:K91)</f>
        <v>50</v>
      </c>
      <c r="M89" s="208">
        <v>2</v>
      </c>
      <c r="N89" s="184" t="s">
        <v>423</v>
      </c>
    </row>
    <row r="90" spans="1:14" x14ac:dyDescent="0.2">
      <c r="A90" s="194">
        <v>43204</v>
      </c>
      <c r="B90" s="194">
        <v>43240</v>
      </c>
      <c r="C90" s="187">
        <f t="shared" si="4"/>
        <v>36</v>
      </c>
      <c r="D90" s="194">
        <v>43253</v>
      </c>
      <c r="E90" s="187">
        <f t="shared" si="5"/>
        <v>49</v>
      </c>
      <c r="F90" s="184" t="s">
        <v>357</v>
      </c>
      <c r="G90" s="184" t="s">
        <v>314</v>
      </c>
      <c r="H90" s="184" t="s">
        <v>82</v>
      </c>
      <c r="J90" s="187">
        <v>5</v>
      </c>
      <c r="K90" s="187">
        <v>3</v>
      </c>
    </row>
    <row r="91" spans="1:14" x14ac:dyDescent="0.2">
      <c r="A91" s="194">
        <v>43204</v>
      </c>
      <c r="B91" s="194">
        <v>43240</v>
      </c>
      <c r="C91" s="187">
        <f t="shared" si="4"/>
        <v>36</v>
      </c>
      <c r="D91" s="194">
        <v>43253</v>
      </c>
      <c r="E91" s="187">
        <f t="shared" si="5"/>
        <v>49</v>
      </c>
      <c r="F91" s="184" t="s">
        <v>358</v>
      </c>
      <c r="G91" s="184" t="s">
        <v>314</v>
      </c>
      <c r="H91" s="184" t="s">
        <v>82</v>
      </c>
      <c r="J91" s="187">
        <v>29</v>
      </c>
      <c r="K91" s="187">
        <v>0</v>
      </c>
    </row>
    <row r="92" spans="1:14" x14ac:dyDescent="0.2">
      <c r="A92" s="194">
        <v>43199</v>
      </c>
      <c r="B92" s="194">
        <v>43235</v>
      </c>
      <c r="C92" s="187">
        <f t="shared" si="4"/>
        <v>36</v>
      </c>
      <c r="D92" s="194">
        <v>43249</v>
      </c>
      <c r="E92" s="187">
        <f t="shared" si="5"/>
        <v>50</v>
      </c>
      <c r="F92" s="184" t="s">
        <v>326</v>
      </c>
      <c r="G92" s="184" t="s">
        <v>314</v>
      </c>
      <c r="H92" s="184" t="s">
        <v>83</v>
      </c>
      <c r="I92" s="187">
        <v>4</v>
      </c>
      <c r="J92" s="187">
        <v>4</v>
      </c>
      <c r="K92" s="187">
        <v>1</v>
      </c>
      <c r="L92" s="188">
        <f>SUM(I92,J92:K94)</f>
        <v>26</v>
      </c>
      <c r="M92" s="208">
        <v>4</v>
      </c>
      <c r="N92" s="184" t="s">
        <v>423</v>
      </c>
    </row>
    <row r="93" spans="1:14" x14ac:dyDescent="0.2">
      <c r="A93" s="194">
        <v>43199</v>
      </c>
      <c r="B93" s="194">
        <v>43235</v>
      </c>
      <c r="C93" s="187">
        <f t="shared" si="4"/>
        <v>36</v>
      </c>
      <c r="D93" s="194">
        <v>43249</v>
      </c>
      <c r="E93" s="187">
        <f t="shared" si="5"/>
        <v>50</v>
      </c>
      <c r="F93" s="184" t="s">
        <v>327</v>
      </c>
      <c r="G93" s="184" t="s">
        <v>314</v>
      </c>
      <c r="H93" s="184" t="s">
        <v>83</v>
      </c>
      <c r="J93" s="187">
        <v>1</v>
      </c>
      <c r="K93" s="187">
        <v>0</v>
      </c>
    </row>
    <row r="94" spans="1:14" x14ac:dyDescent="0.2">
      <c r="A94" s="194">
        <v>43199</v>
      </c>
      <c r="B94" s="194">
        <v>43235</v>
      </c>
      <c r="C94" s="187">
        <f t="shared" si="4"/>
        <v>36</v>
      </c>
      <c r="D94" s="194">
        <v>43249</v>
      </c>
      <c r="E94" s="187">
        <f t="shared" si="5"/>
        <v>50</v>
      </c>
      <c r="F94" s="184" t="s">
        <v>328</v>
      </c>
      <c r="G94" s="184" t="s">
        <v>314</v>
      </c>
      <c r="H94" s="184" t="s">
        <v>83</v>
      </c>
      <c r="J94" s="187">
        <v>12</v>
      </c>
      <c r="K94" s="187">
        <v>4</v>
      </c>
    </row>
    <row r="95" spans="1:14" x14ac:dyDescent="0.2">
      <c r="A95" s="194">
        <v>43194</v>
      </c>
      <c r="B95" s="194">
        <v>43230</v>
      </c>
      <c r="C95" s="187">
        <f t="shared" si="4"/>
        <v>36</v>
      </c>
      <c r="D95" s="194">
        <v>43243</v>
      </c>
      <c r="E95" s="187">
        <f t="shared" si="5"/>
        <v>49</v>
      </c>
      <c r="F95" s="184" t="s">
        <v>257</v>
      </c>
      <c r="G95" s="184" t="s">
        <v>314</v>
      </c>
      <c r="H95" s="184" t="s">
        <v>83</v>
      </c>
      <c r="I95" s="187">
        <v>8</v>
      </c>
      <c r="J95" s="187">
        <v>27</v>
      </c>
      <c r="K95" s="187">
        <v>0</v>
      </c>
      <c r="L95" s="188">
        <f>SUM(I95,J95:K97)</f>
        <v>48</v>
      </c>
      <c r="M95" s="208">
        <v>2</v>
      </c>
      <c r="N95" s="184" t="s">
        <v>423</v>
      </c>
    </row>
    <row r="96" spans="1:14" x14ac:dyDescent="0.2">
      <c r="A96" s="194">
        <v>43194</v>
      </c>
      <c r="B96" s="194">
        <v>43230</v>
      </c>
      <c r="C96" s="187">
        <f t="shared" si="4"/>
        <v>36</v>
      </c>
      <c r="D96" s="194">
        <v>43243</v>
      </c>
      <c r="E96" s="187">
        <f t="shared" si="5"/>
        <v>49</v>
      </c>
      <c r="F96" s="184" t="s">
        <v>258</v>
      </c>
      <c r="G96" s="184" t="s">
        <v>314</v>
      </c>
      <c r="H96" s="184" t="s">
        <v>83</v>
      </c>
      <c r="J96" s="187">
        <v>5</v>
      </c>
      <c r="K96" s="187">
        <v>1</v>
      </c>
    </row>
    <row r="97" spans="1:14" x14ac:dyDescent="0.2">
      <c r="A97" s="194">
        <v>43194</v>
      </c>
      <c r="B97" s="194">
        <v>43230</v>
      </c>
      <c r="C97" s="187">
        <f t="shared" si="4"/>
        <v>36</v>
      </c>
      <c r="D97" s="194">
        <v>43243</v>
      </c>
      <c r="E97" s="187">
        <f t="shared" si="5"/>
        <v>49</v>
      </c>
      <c r="F97" s="184" t="s">
        <v>259</v>
      </c>
      <c r="G97" s="184" t="s">
        <v>314</v>
      </c>
      <c r="H97" s="184" t="s">
        <v>83</v>
      </c>
      <c r="J97" s="187">
        <v>7</v>
      </c>
      <c r="K97" s="187">
        <v>0</v>
      </c>
    </row>
    <row r="98" spans="1:14" x14ac:dyDescent="0.2">
      <c r="A98" s="194">
        <v>43197</v>
      </c>
      <c r="B98" s="194">
        <v>43233</v>
      </c>
      <c r="C98" s="187">
        <f t="shared" ref="C98:C129" si="6">B98-A98</f>
        <v>36</v>
      </c>
      <c r="D98" s="194">
        <v>43247</v>
      </c>
      <c r="E98" s="187">
        <f t="shared" ref="E98:E129" si="7">D98-A98</f>
        <v>50</v>
      </c>
      <c r="F98" s="184" t="s">
        <v>278</v>
      </c>
      <c r="G98" s="184" t="s">
        <v>314</v>
      </c>
      <c r="H98" s="184" t="s">
        <v>83</v>
      </c>
      <c r="I98" s="187">
        <v>3</v>
      </c>
      <c r="J98" s="187">
        <v>50</v>
      </c>
      <c r="K98" s="187">
        <v>2</v>
      </c>
      <c r="L98" s="188">
        <f>SUM(I98,J98:K100)</f>
        <v>111</v>
      </c>
      <c r="M98" s="208">
        <v>2</v>
      </c>
      <c r="N98" s="184" t="s">
        <v>423</v>
      </c>
    </row>
    <row r="99" spans="1:14" x14ac:dyDescent="0.2">
      <c r="A99" s="194">
        <v>43197</v>
      </c>
      <c r="B99" s="194">
        <v>43233</v>
      </c>
      <c r="C99" s="187">
        <f t="shared" si="6"/>
        <v>36</v>
      </c>
      <c r="D99" s="194">
        <v>43247</v>
      </c>
      <c r="E99" s="187">
        <f t="shared" si="7"/>
        <v>50</v>
      </c>
      <c r="F99" s="184" t="s">
        <v>279</v>
      </c>
      <c r="G99" s="184" t="s">
        <v>314</v>
      </c>
      <c r="H99" s="184" t="s">
        <v>83</v>
      </c>
      <c r="J99" s="187">
        <v>24</v>
      </c>
      <c r="K99" s="187">
        <v>3</v>
      </c>
    </row>
    <row r="100" spans="1:14" x14ac:dyDescent="0.2">
      <c r="A100" s="194">
        <v>43197</v>
      </c>
      <c r="B100" s="194">
        <v>43233</v>
      </c>
      <c r="C100" s="187">
        <f t="shared" si="6"/>
        <v>36</v>
      </c>
      <c r="D100" s="194">
        <v>43247</v>
      </c>
      <c r="E100" s="187">
        <f t="shared" si="7"/>
        <v>50</v>
      </c>
      <c r="F100" s="184" t="s">
        <v>280</v>
      </c>
      <c r="G100" s="184" t="s">
        <v>314</v>
      </c>
      <c r="H100" s="184" t="s">
        <v>83</v>
      </c>
      <c r="J100" s="187">
        <v>28</v>
      </c>
      <c r="K100" s="187">
        <v>1</v>
      </c>
    </row>
    <row r="101" spans="1:14" x14ac:dyDescent="0.2">
      <c r="A101" s="194">
        <v>43204</v>
      </c>
      <c r="B101" s="194">
        <v>43243</v>
      </c>
      <c r="C101" s="187">
        <f t="shared" si="6"/>
        <v>39</v>
      </c>
      <c r="D101" s="194">
        <v>43253</v>
      </c>
      <c r="E101" s="187">
        <f t="shared" si="7"/>
        <v>49</v>
      </c>
      <c r="F101" s="184" t="s">
        <v>359</v>
      </c>
      <c r="G101" s="184" t="s">
        <v>314</v>
      </c>
      <c r="H101" s="184" t="s">
        <v>83</v>
      </c>
      <c r="I101" s="187">
        <v>40</v>
      </c>
      <c r="J101" s="187">
        <v>18</v>
      </c>
      <c r="K101" s="187">
        <v>7</v>
      </c>
      <c r="L101" s="188">
        <f>SUM(I101,J101:K103)</f>
        <v>125</v>
      </c>
      <c r="M101" s="208">
        <v>4</v>
      </c>
      <c r="N101" s="208">
        <v>5</v>
      </c>
    </row>
    <row r="102" spans="1:14" x14ac:dyDescent="0.2">
      <c r="A102" s="194">
        <v>43204</v>
      </c>
      <c r="B102" s="194">
        <v>43243</v>
      </c>
      <c r="C102" s="187">
        <f t="shared" si="6"/>
        <v>39</v>
      </c>
      <c r="D102" s="194">
        <v>43253</v>
      </c>
      <c r="E102" s="187">
        <f t="shared" si="7"/>
        <v>49</v>
      </c>
      <c r="F102" s="184" t="s">
        <v>360</v>
      </c>
      <c r="G102" s="184" t="s">
        <v>314</v>
      </c>
      <c r="H102" s="184" t="s">
        <v>83</v>
      </c>
      <c r="J102" s="187">
        <v>36</v>
      </c>
      <c r="K102" s="187">
        <v>4</v>
      </c>
    </row>
    <row r="103" spans="1:14" x14ac:dyDescent="0.2">
      <c r="A103" s="194">
        <v>43204</v>
      </c>
      <c r="B103" s="194">
        <v>43243</v>
      </c>
      <c r="C103" s="187">
        <f t="shared" si="6"/>
        <v>39</v>
      </c>
      <c r="D103" s="194">
        <v>43253</v>
      </c>
      <c r="E103" s="187">
        <f t="shared" si="7"/>
        <v>49</v>
      </c>
      <c r="F103" s="184" t="s">
        <v>361</v>
      </c>
      <c r="G103" s="184" t="s">
        <v>314</v>
      </c>
      <c r="H103" s="184" t="s">
        <v>83</v>
      </c>
      <c r="J103" s="187">
        <v>20</v>
      </c>
      <c r="K103" s="187">
        <v>0</v>
      </c>
    </row>
    <row r="104" spans="1:14" x14ac:dyDescent="0.2">
      <c r="A104" s="194">
        <v>43205</v>
      </c>
      <c r="B104" s="194">
        <v>43243</v>
      </c>
      <c r="C104" s="187">
        <f t="shared" si="6"/>
        <v>38</v>
      </c>
      <c r="D104" s="194">
        <v>43256</v>
      </c>
      <c r="E104" s="187">
        <f t="shared" si="7"/>
        <v>51</v>
      </c>
      <c r="F104" s="184" t="s">
        <v>368</v>
      </c>
      <c r="G104" s="184" t="s">
        <v>314</v>
      </c>
      <c r="H104" s="184" t="s">
        <v>83</v>
      </c>
      <c r="I104" s="187">
        <v>64</v>
      </c>
      <c r="J104" s="187">
        <v>170</v>
      </c>
      <c r="K104" s="187">
        <v>2</v>
      </c>
      <c r="L104" s="188">
        <f>SUM(I104,J104:K106)</f>
        <v>440</v>
      </c>
      <c r="M104" s="184" t="s">
        <v>423</v>
      </c>
      <c r="N104" s="184" t="s">
        <v>423</v>
      </c>
    </row>
    <row r="105" spans="1:14" x14ac:dyDescent="0.2">
      <c r="A105" s="194">
        <v>43205</v>
      </c>
      <c r="B105" s="194">
        <v>43243</v>
      </c>
      <c r="C105" s="187">
        <f t="shared" si="6"/>
        <v>38</v>
      </c>
      <c r="D105" s="194">
        <v>43256</v>
      </c>
      <c r="E105" s="187">
        <f t="shared" si="7"/>
        <v>51</v>
      </c>
      <c r="F105" s="184" t="s">
        <v>369</v>
      </c>
      <c r="G105" s="184" t="s">
        <v>314</v>
      </c>
      <c r="H105" s="184" t="s">
        <v>83</v>
      </c>
      <c r="J105" s="187">
        <v>68</v>
      </c>
      <c r="K105" s="187">
        <v>1</v>
      </c>
    </row>
    <row r="106" spans="1:14" x14ac:dyDescent="0.2">
      <c r="A106" s="194">
        <v>43205</v>
      </c>
      <c r="B106" s="194">
        <v>43243</v>
      </c>
      <c r="C106" s="187">
        <f t="shared" si="6"/>
        <v>38</v>
      </c>
      <c r="D106" s="194">
        <v>43256</v>
      </c>
      <c r="E106" s="187">
        <f t="shared" si="7"/>
        <v>51</v>
      </c>
      <c r="F106" s="184" t="s">
        <v>370</v>
      </c>
      <c r="G106" s="184" t="s">
        <v>314</v>
      </c>
      <c r="H106" s="184" t="s">
        <v>83</v>
      </c>
      <c r="J106" s="187">
        <v>120</v>
      </c>
      <c r="K106" s="187">
        <v>15</v>
      </c>
    </row>
    <row r="107" spans="1:14" x14ac:dyDescent="0.2">
      <c r="A107" s="194">
        <v>43209</v>
      </c>
      <c r="B107" s="194">
        <v>43243</v>
      </c>
      <c r="C107" s="187">
        <f t="shared" si="6"/>
        <v>34</v>
      </c>
      <c r="D107" s="194">
        <v>43258</v>
      </c>
      <c r="E107" s="187">
        <f t="shared" si="7"/>
        <v>49</v>
      </c>
      <c r="F107" s="184" t="s">
        <v>371</v>
      </c>
      <c r="G107" s="184" t="s">
        <v>314</v>
      </c>
      <c r="H107" s="184" t="s">
        <v>83</v>
      </c>
      <c r="I107" s="187">
        <v>122</v>
      </c>
      <c r="J107" s="187">
        <v>177</v>
      </c>
      <c r="K107" s="187">
        <v>38</v>
      </c>
      <c r="L107" s="188">
        <f>SUM(I107,J107:K109)</f>
        <v>739</v>
      </c>
      <c r="M107" s="208">
        <v>8</v>
      </c>
      <c r="N107" s="184" t="s">
        <v>423</v>
      </c>
    </row>
    <row r="108" spans="1:14" x14ac:dyDescent="0.2">
      <c r="A108" s="194">
        <v>43209</v>
      </c>
      <c r="B108" s="194">
        <v>43243</v>
      </c>
      <c r="C108" s="187">
        <f t="shared" si="6"/>
        <v>34</v>
      </c>
      <c r="D108" s="194">
        <v>43258</v>
      </c>
      <c r="E108" s="187">
        <f t="shared" si="7"/>
        <v>49</v>
      </c>
      <c r="F108" s="184" t="s">
        <v>372</v>
      </c>
      <c r="G108" s="184" t="s">
        <v>314</v>
      </c>
      <c r="H108" s="184" t="s">
        <v>83</v>
      </c>
      <c r="J108" s="187">
        <v>135</v>
      </c>
      <c r="K108" s="187">
        <v>74</v>
      </c>
    </row>
    <row r="109" spans="1:14" x14ac:dyDescent="0.2">
      <c r="A109" s="194">
        <v>43209</v>
      </c>
      <c r="B109" s="194">
        <v>43243</v>
      </c>
      <c r="C109" s="187">
        <f t="shared" si="6"/>
        <v>34</v>
      </c>
      <c r="D109" s="194">
        <v>43258</v>
      </c>
      <c r="E109" s="187">
        <f t="shared" si="7"/>
        <v>49</v>
      </c>
      <c r="F109" s="184" t="s">
        <v>373</v>
      </c>
      <c r="G109" s="184" t="s">
        <v>314</v>
      </c>
      <c r="H109" s="184" t="s">
        <v>83</v>
      </c>
      <c r="J109" s="187">
        <v>140</v>
      </c>
      <c r="K109" s="187">
        <v>53</v>
      </c>
    </row>
    <row r="110" spans="1:14" x14ac:dyDescent="0.2">
      <c r="A110" s="194">
        <v>43199</v>
      </c>
      <c r="B110" s="194">
        <v>43235</v>
      </c>
      <c r="C110" s="187">
        <f t="shared" si="6"/>
        <v>36</v>
      </c>
      <c r="D110" s="194">
        <v>43249</v>
      </c>
      <c r="E110" s="187">
        <f t="shared" si="7"/>
        <v>50</v>
      </c>
      <c r="F110" s="184" t="s">
        <v>329</v>
      </c>
      <c r="G110" s="184" t="s">
        <v>313</v>
      </c>
      <c r="H110" s="184" t="s">
        <v>60</v>
      </c>
      <c r="I110" s="187">
        <v>2</v>
      </c>
      <c r="J110" s="187">
        <v>10</v>
      </c>
      <c r="K110" s="187">
        <v>0</v>
      </c>
      <c r="L110" s="188">
        <f>SUM(I110,J110:K112)</f>
        <v>101</v>
      </c>
      <c r="M110" s="208">
        <v>2</v>
      </c>
      <c r="N110" s="184" t="s">
        <v>423</v>
      </c>
    </row>
    <row r="111" spans="1:14" x14ac:dyDescent="0.2">
      <c r="A111" s="194">
        <v>43199</v>
      </c>
      <c r="B111" s="194">
        <v>43235</v>
      </c>
      <c r="C111" s="187">
        <f t="shared" si="6"/>
        <v>36</v>
      </c>
      <c r="D111" s="194">
        <v>43249</v>
      </c>
      <c r="E111" s="187">
        <f t="shared" si="7"/>
        <v>50</v>
      </c>
      <c r="F111" s="184" t="s">
        <v>330</v>
      </c>
      <c r="G111" s="184" t="s">
        <v>313</v>
      </c>
      <c r="H111" s="184" t="s">
        <v>60</v>
      </c>
      <c r="J111" s="187">
        <v>27</v>
      </c>
      <c r="K111" s="187">
        <v>0</v>
      </c>
    </row>
    <row r="112" spans="1:14" x14ac:dyDescent="0.2">
      <c r="A112" s="194">
        <v>43199</v>
      </c>
      <c r="B112" s="194">
        <v>43235</v>
      </c>
      <c r="C112" s="187">
        <f t="shared" si="6"/>
        <v>36</v>
      </c>
      <c r="D112" s="194">
        <v>43249</v>
      </c>
      <c r="E112" s="187">
        <f t="shared" si="7"/>
        <v>50</v>
      </c>
      <c r="F112" s="184" t="s">
        <v>331</v>
      </c>
      <c r="G112" s="184" t="s">
        <v>313</v>
      </c>
      <c r="H112" s="184" t="s">
        <v>60</v>
      </c>
      <c r="J112" s="187">
        <v>58</v>
      </c>
      <c r="K112" s="187">
        <v>4</v>
      </c>
    </row>
    <row r="113" spans="1:14" x14ac:dyDescent="0.2">
      <c r="A113" s="194">
        <v>43192</v>
      </c>
      <c r="B113" s="194">
        <v>43228</v>
      </c>
      <c r="C113" s="187">
        <f t="shared" si="6"/>
        <v>36</v>
      </c>
      <c r="D113" s="194">
        <v>43243</v>
      </c>
      <c r="E113" s="187">
        <f t="shared" si="7"/>
        <v>51</v>
      </c>
      <c r="F113" s="184" t="s">
        <v>236</v>
      </c>
      <c r="G113" s="184" t="s">
        <v>313</v>
      </c>
      <c r="H113" s="184" t="s">
        <v>60</v>
      </c>
      <c r="I113" s="187">
        <v>41</v>
      </c>
      <c r="J113" s="187">
        <v>89</v>
      </c>
      <c r="K113" s="187">
        <v>9</v>
      </c>
      <c r="L113" s="188">
        <f>SUM(I113,J113:K115)</f>
        <v>463</v>
      </c>
      <c r="M113" s="208">
        <v>4</v>
      </c>
      <c r="N113" s="208">
        <v>5</v>
      </c>
    </row>
    <row r="114" spans="1:14" x14ac:dyDescent="0.2">
      <c r="A114" s="194">
        <v>43192</v>
      </c>
      <c r="B114" s="194">
        <v>43228</v>
      </c>
      <c r="C114" s="187">
        <f t="shared" si="6"/>
        <v>36</v>
      </c>
      <c r="D114" s="194">
        <v>43243</v>
      </c>
      <c r="E114" s="187">
        <f t="shared" si="7"/>
        <v>51</v>
      </c>
      <c r="F114" s="184" t="s">
        <v>237</v>
      </c>
      <c r="G114" s="184" t="s">
        <v>313</v>
      </c>
      <c r="H114" s="184" t="s">
        <v>60</v>
      </c>
      <c r="J114" s="187">
        <v>130</v>
      </c>
      <c r="K114" s="187">
        <v>2</v>
      </c>
    </row>
    <row r="115" spans="1:14" x14ac:dyDescent="0.2">
      <c r="A115" s="194">
        <v>43192</v>
      </c>
      <c r="B115" s="194">
        <v>43228</v>
      </c>
      <c r="C115" s="187">
        <f t="shared" si="6"/>
        <v>36</v>
      </c>
      <c r="D115" s="194">
        <v>43243</v>
      </c>
      <c r="E115" s="187">
        <f t="shared" si="7"/>
        <v>51</v>
      </c>
      <c r="F115" s="184" t="s">
        <v>238</v>
      </c>
      <c r="G115" s="184" t="s">
        <v>313</v>
      </c>
      <c r="H115" s="184" t="s">
        <v>60</v>
      </c>
      <c r="J115" s="187">
        <v>191</v>
      </c>
      <c r="K115" s="187">
        <v>1</v>
      </c>
    </row>
    <row r="116" spans="1:14" x14ac:dyDescent="0.2">
      <c r="A116" s="194">
        <v>43195</v>
      </c>
      <c r="B116" s="194">
        <v>43230</v>
      </c>
      <c r="C116" s="187">
        <f t="shared" si="6"/>
        <v>35</v>
      </c>
      <c r="D116" s="194">
        <v>43247</v>
      </c>
      <c r="E116" s="187">
        <f t="shared" si="7"/>
        <v>52</v>
      </c>
      <c r="F116" s="184" t="s">
        <v>263</v>
      </c>
      <c r="G116" s="184" t="s">
        <v>313</v>
      </c>
      <c r="H116" s="184" t="s">
        <v>60</v>
      </c>
      <c r="I116" s="187">
        <v>2</v>
      </c>
      <c r="J116" s="187">
        <v>3</v>
      </c>
      <c r="K116" s="187">
        <v>0</v>
      </c>
      <c r="L116" s="188">
        <f>SUM(I116,J116:K118)</f>
        <v>22</v>
      </c>
      <c r="M116" s="208">
        <v>1</v>
      </c>
      <c r="N116" s="184" t="s">
        <v>423</v>
      </c>
    </row>
    <row r="117" spans="1:14" x14ac:dyDescent="0.2">
      <c r="A117" s="194">
        <v>43195</v>
      </c>
      <c r="B117" s="194">
        <v>43230</v>
      </c>
      <c r="C117" s="187">
        <f t="shared" si="6"/>
        <v>35</v>
      </c>
      <c r="D117" s="194">
        <v>43247</v>
      </c>
      <c r="E117" s="187">
        <f t="shared" si="7"/>
        <v>52</v>
      </c>
      <c r="F117" s="184" t="s">
        <v>264</v>
      </c>
      <c r="G117" s="184" t="s">
        <v>313</v>
      </c>
      <c r="H117" s="184" t="s">
        <v>60</v>
      </c>
      <c r="J117" s="187">
        <v>15</v>
      </c>
      <c r="K117" s="187">
        <v>0</v>
      </c>
    </row>
    <row r="118" spans="1:14" x14ac:dyDescent="0.2">
      <c r="A118" s="194">
        <v>43195</v>
      </c>
      <c r="B118" s="194">
        <v>43230</v>
      </c>
      <c r="C118" s="187">
        <f t="shared" si="6"/>
        <v>35</v>
      </c>
      <c r="D118" s="194">
        <v>43247</v>
      </c>
      <c r="E118" s="187">
        <f t="shared" si="7"/>
        <v>52</v>
      </c>
      <c r="F118" s="184" t="s">
        <v>265</v>
      </c>
      <c r="G118" s="184" t="s">
        <v>313</v>
      </c>
      <c r="H118" s="184" t="s">
        <v>60</v>
      </c>
      <c r="J118" s="187">
        <v>2</v>
      </c>
      <c r="K118" s="187">
        <v>0</v>
      </c>
    </row>
    <row r="119" spans="1:14" x14ac:dyDescent="0.2">
      <c r="A119" s="194">
        <v>43197</v>
      </c>
      <c r="B119" s="194">
        <v>43233</v>
      </c>
      <c r="C119" s="187">
        <f t="shared" si="6"/>
        <v>36</v>
      </c>
      <c r="D119" s="194">
        <v>43247</v>
      </c>
      <c r="E119" s="187">
        <f t="shared" si="7"/>
        <v>50</v>
      </c>
      <c r="F119" s="184" t="s">
        <v>275</v>
      </c>
      <c r="G119" s="184" t="s">
        <v>313</v>
      </c>
      <c r="H119" s="184" t="s">
        <v>60</v>
      </c>
      <c r="I119" s="187">
        <v>75</v>
      </c>
      <c r="J119" s="187">
        <v>121</v>
      </c>
      <c r="K119" s="187">
        <v>13</v>
      </c>
      <c r="L119" s="188">
        <f>SUM(I119,J119:K121)</f>
        <v>741</v>
      </c>
      <c r="M119" s="208">
        <v>16</v>
      </c>
      <c r="N119" s="208">
        <v>3</v>
      </c>
    </row>
    <row r="120" spans="1:14" x14ac:dyDescent="0.2">
      <c r="A120" s="194">
        <v>43197</v>
      </c>
      <c r="B120" s="194">
        <v>43233</v>
      </c>
      <c r="C120" s="187">
        <f t="shared" si="6"/>
        <v>36</v>
      </c>
      <c r="D120" s="194">
        <v>43247</v>
      </c>
      <c r="E120" s="187">
        <f t="shared" si="7"/>
        <v>50</v>
      </c>
      <c r="F120" s="184" t="s">
        <v>276</v>
      </c>
      <c r="G120" s="184" t="s">
        <v>313</v>
      </c>
      <c r="H120" s="184" t="s">
        <v>60</v>
      </c>
      <c r="J120" s="187">
        <v>233</v>
      </c>
      <c r="K120" s="187">
        <v>17</v>
      </c>
    </row>
    <row r="121" spans="1:14" x14ac:dyDescent="0.2">
      <c r="A121" s="194">
        <v>43197</v>
      </c>
      <c r="B121" s="194">
        <v>43233</v>
      </c>
      <c r="C121" s="187">
        <f t="shared" si="6"/>
        <v>36</v>
      </c>
      <c r="D121" s="194">
        <v>43247</v>
      </c>
      <c r="E121" s="187">
        <f t="shared" si="7"/>
        <v>50</v>
      </c>
      <c r="F121" s="184" t="s">
        <v>277</v>
      </c>
      <c r="G121" s="184" t="s">
        <v>313</v>
      </c>
      <c r="H121" s="184" t="s">
        <v>60</v>
      </c>
      <c r="J121" s="187">
        <v>268</v>
      </c>
      <c r="K121" s="187">
        <v>14</v>
      </c>
    </row>
    <row r="122" spans="1:14" x14ac:dyDescent="0.2">
      <c r="A122" s="194">
        <v>43198</v>
      </c>
      <c r="B122" s="194">
        <v>43233</v>
      </c>
      <c r="C122" s="187">
        <f t="shared" si="6"/>
        <v>35</v>
      </c>
      <c r="D122" s="194">
        <v>43247</v>
      </c>
      <c r="E122" s="187">
        <f t="shared" si="7"/>
        <v>49</v>
      </c>
      <c r="F122" s="184" t="s">
        <v>290</v>
      </c>
      <c r="G122" s="184" t="s">
        <v>313</v>
      </c>
      <c r="H122" s="184" t="s">
        <v>60</v>
      </c>
      <c r="I122" s="187">
        <v>49</v>
      </c>
      <c r="J122" s="187">
        <v>253</v>
      </c>
      <c r="K122" s="187">
        <v>7</v>
      </c>
      <c r="L122" s="188">
        <f>SUM(I122,J122:K124)</f>
        <v>741</v>
      </c>
      <c r="M122" s="208">
        <v>2</v>
      </c>
      <c r="N122" s="208">
        <v>1</v>
      </c>
    </row>
    <row r="123" spans="1:14" x14ac:dyDescent="0.2">
      <c r="A123" s="194">
        <v>43198</v>
      </c>
      <c r="B123" s="194">
        <v>43233</v>
      </c>
      <c r="C123" s="187">
        <f t="shared" si="6"/>
        <v>35</v>
      </c>
      <c r="D123" s="194">
        <v>43247</v>
      </c>
      <c r="E123" s="187">
        <f t="shared" si="7"/>
        <v>49</v>
      </c>
      <c r="F123" s="184" t="s">
        <v>291</v>
      </c>
      <c r="G123" s="184" t="s">
        <v>313</v>
      </c>
      <c r="H123" s="184" t="s">
        <v>60</v>
      </c>
      <c r="J123" s="187">
        <v>176</v>
      </c>
      <c r="K123" s="187">
        <v>18</v>
      </c>
    </row>
    <row r="124" spans="1:14" x14ac:dyDescent="0.2">
      <c r="A124" s="194">
        <v>43198</v>
      </c>
      <c r="B124" s="194">
        <v>43233</v>
      </c>
      <c r="C124" s="187">
        <f t="shared" si="6"/>
        <v>35</v>
      </c>
      <c r="D124" s="194">
        <v>43247</v>
      </c>
      <c r="E124" s="187">
        <f t="shared" si="7"/>
        <v>49</v>
      </c>
      <c r="F124" s="184" t="s">
        <v>292</v>
      </c>
      <c r="G124" s="184" t="s">
        <v>313</v>
      </c>
      <c r="H124" s="184" t="s">
        <v>60</v>
      </c>
      <c r="J124" s="187">
        <v>230</v>
      </c>
      <c r="K124" s="187">
        <v>8</v>
      </c>
    </row>
    <row r="125" spans="1:14" x14ac:dyDescent="0.2">
      <c r="A125" s="194">
        <v>43203</v>
      </c>
      <c r="B125" s="194">
        <v>43240</v>
      </c>
      <c r="C125" s="187">
        <f t="shared" si="6"/>
        <v>37</v>
      </c>
      <c r="D125" s="194">
        <v>43253</v>
      </c>
      <c r="E125" s="187">
        <f t="shared" si="7"/>
        <v>50</v>
      </c>
      <c r="F125" s="184" t="s">
        <v>350</v>
      </c>
      <c r="G125" s="184" t="s">
        <v>313</v>
      </c>
      <c r="H125" s="184" t="s">
        <v>60</v>
      </c>
      <c r="I125" s="187">
        <v>9</v>
      </c>
      <c r="J125" s="187">
        <v>14</v>
      </c>
      <c r="K125" s="187">
        <v>0</v>
      </c>
      <c r="L125" s="188">
        <f>SUM(I125,J125:K127)</f>
        <v>141</v>
      </c>
      <c r="M125" s="208">
        <v>6</v>
      </c>
      <c r="N125" s="184" t="s">
        <v>423</v>
      </c>
    </row>
    <row r="126" spans="1:14" x14ac:dyDescent="0.2">
      <c r="A126" s="194">
        <v>43203</v>
      </c>
      <c r="B126" s="194">
        <v>43240</v>
      </c>
      <c r="C126" s="187">
        <f t="shared" si="6"/>
        <v>37</v>
      </c>
      <c r="D126" s="194">
        <v>43253</v>
      </c>
      <c r="E126" s="187">
        <f t="shared" si="7"/>
        <v>50</v>
      </c>
      <c r="F126" s="184" t="s">
        <v>351</v>
      </c>
      <c r="G126" s="184" t="s">
        <v>313</v>
      </c>
      <c r="H126" s="193" t="s">
        <v>60</v>
      </c>
      <c r="J126" s="187">
        <v>71</v>
      </c>
      <c r="K126" s="187">
        <v>8</v>
      </c>
    </row>
    <row r="127" spans="1:14" x14ac:dyDescent="0.2">
      <c r="A127" s="194">
        <v>43203</v>
      </c>
      <c r="B127" s="194">
        <v>43240</v>
      </c>
      <c r="C127" s="187">
        <f t="shared" si="6"/>
        <v>37</v>
      </c>
      <c r="D127" s="194">
        <v>43253</v>
      </c>
      <c r="E127" s="187">
        <f t="shared" si="7"/>
        <v>50</v>
      </c>
      <c r="F127" s="184" t="s">
        <v>352</v>
      </c>
      <c r="G127" s="184" t="s">
        <v>313</v>
      </c>
      <c r="H127" s="193" t="s">
        <v>60</v>
      </c>
      <c r="J127" s="187">
        <v>38</v>
      </c>
      <c r="K127" s="187">
        <v>1</v>
      </c>
    </row>
    <row r="128" spans="1:14" x14ac:dyDescent="0.2">
      <c r="A128" s="194">
        <v>43192</v>
      </c>
      <c r="B128" s="194">
        <v>43228</v>
      </c>
      <c r="C128" s="187">
        <f t="shared" si="6"/>
        <v>36</v>
      </c>
      <c r="D128" s="194">
        <v>43243</v>
      </c>
      <c r="E128" s="187">
        <f t="shared" si="7"/>
        <v>51</v>
      </c>
      <c r="F128" s="184" t="s">
        <v>245</v>
      </c>
      <c r="G128" s="184" t="s">
        <v>313</v>
      </c>
      <c r="H128" s="184" t="s">
        <v>58</v>
      </c>
      <c r="I128" s="187">
        <v>24</v>
      </c>
      <c r="J128" s="187">
        <v>68</v>
      </c>
      <c r="K128" s="187">
        <v>1</v>
      </c>
      <c r="L128" s="188">
        <f>SUM(I128,J128:K130)</f>
        <v>295</v>
      </c>
      <c r="M128" s="208">
        <v>2</v>
      </c>
      <c r="N128" s="208">
        <v>0</v>
      </c>
    </row>
    <row r="129" spans="1:14" x14ac:dyDescent="0.2">
      <c r="A129" s="194">
        <v>43192</v>
      </c>
      <c r="B129" s="194">
        <v>43228</v>
      </c>
      <c r="C129" s="187">
        <f t="shared" si="6"/>
        <v>36</v>
      </c>
      <c r="D129" s="194">
        <v>43243</v>
      </c>
      <c r="E129" s="187">
        <f t="shared" si="7"/>
        <v>51</v>
      </c>
      <c r="F129" s="184" t="s">
        <v>246</v>
      </c>
      <c r="G129" s="184" t="s">
        <v>313</v>
      </c>
      <c r="H129" s="184" t="s">
        <v>58</v>
      </c>
      <c r="J129" s="187">
        <v>107</v>
      </c>
      <c r="K129" s="187">
        <v>3</v>
      </c>
    </row>
    <row r="130" spans="1:14" x14ac:dyDescent="0.2">
      <c r="A130" s="194">
        <v>43192</v>
      </c>
      <c r="B130" s="194">
        <v>43228</v>
      </c>
      <c r="C130" s="187">
        <f t="shared" ref="C130:C161" si="8">B130-A130</f>
        <v>36</v>
      </c>
      <c r="D130" s="194">
        <v>43243</v>
      </c>
      <c r="E130" s="187">
        <f t="shared" ref="E130:E161" si="9">D130-A130</f>
        <v>51</v>
      </c>
      <c r="F130" s="184" t="s">
        <v>247</v>
      </c>
      <c r="G130" s="184" t="s">
        <v>313</v>
      </c>
      <c r="H130" s="184" t="s">
        <v>58</v>
      </c>
      <c r="J130" s="187">
        <v>92</v>
      </c>
      <c r="K130" s="187">
        <v>0</v>
      </c>
    </row>
    <row r="131" spans="1:14" x14ac:dyDescent="0.2">
      <c r="A131" s="194">
        <v>43193</v>
      </c>
      <c r="B131" s="194">
        <v>43228</v>
      </c>
      <c r="C131" s="187">
        <f t="shared" si="8"/>
        <v>35</v>
      </c>
      <c r="D131" s="194">
        <v>43243</v>
      </c>
      <c r="E131" s="187">
        <f t="shared" si="9"/>
        <v>50</v>
      </c>
      <c r="F131" s="184" t="s">
        <v>254</v>
      </c>
      <c r="G131" s="184" t="s">
        <v>313</v>
      </c>
      <c r="H131" s="184" t="s">
        <v>58</v>
      </c>
      <c r="I131" s="187">
        <v>6</v>
      </c>
      <c r="J131" s="187">
        <v>4</v>
      </c>
      <c r="K131" s="187">
        <v>0</v>
      </c>
      <c r="L131" s="188">
        <f>SUM(I131,J131:K133)</f>
        <v>26</v>
      </c>
      <c r="M131" s="208">
        <v>1</v>
      </c>
      <c r="N131" s="184" t="s">
        <v>423</v>
      </c>
    </row>
    <row r="132" spans="1:14" x14ac:dyDescent="0.2">
      <c r="A132" s="194">
        <v>43193</v>
      </c>
      <c r="B132" s="194">
        <v>43228</v>
      </c>
      <c r="C132" s="187">
        <f t="shared" si="8"/>
        <v>35</v>
      </c>
      <c r="D132" s="194">
        <v>43243</v>
      </c>
      <c r="E132" s="187">
        <f t="shared" si="9"/>
        <v>50</v>
      </c>
      <c r="F132" s="184" t="s">
        <v>255</v>
      </c>
      <c r="G132" s="184" t="s">
        <v>313</v>
      </c>
      <c r="H132" s="184" t="s">
        <v>58</v>
      </c>
      <c r="J132" s="187">
        <v>4</v>
      </c>
      <c r="K132" s="187">
        <v>0</v>
      </c>
    </row>
    <row r="133" spans="1:14" x14ac:dyDescent="0.2">
      <c r="A133" s="194">
        <v>43193</v>
      </c>
      <c r="B133" s="194">
        <v>43228</v>
      </c>
      <c r="C133" s="187">
        <f t="shared" si="8"/>
        <v>35</v>
      </c>
      <c r="D133" s="194">
        <v>43243</v>
      </c>
      <c r="E133" s="187">
        <f t="shared" si="9"/>
        <v>50</v>
      </c>
      <c r="F133" s="184" t="s">
        <v>256</v>
      </c>
      <c r="G133" s="184" t="s">
        <v>313</v>
      </c>
      <c r="H133" s="184" t="s">
        <v>58</v>
      </c>
      <c r="J133" s="187">
        <v>12</v>
      </c>
      <c r="K133" s="187">
        <v>0</v>
      </c>
    </row>
    <row r="134" spans="1:14" x14ac:dyDescent="0.2">
      <c r="A134" s="194">
        <v>43203</v>
      </c>
      <c r="B134" s="194">
        <v>43240</v>
      </c>
      <c r="C134" s="187">
        <f t="shared" si="8"/>
        <v>37</v>
      </c>
      <c r="D134" s="194">
        <v>43253</v>
      </c>
      <c r="E134" s="187">
        <f t="shared" si="9"/>
        <v>50</v>
      </c>
      <c r="F134" s="184" t="s">
        <v>344</v>
      </c>
      <c r="G134" s="184" t="s">
        <v>313</v>
      </c>
      <c r="H134" s="184" t="s">
        <v>58</v>
      </c>
      <c r="I134" s="187">
        <v>2</v>
      </c>
      <c r="J134" s="187">
        <v>13</v>
      </c>
      <c r="K134" s="187">
        <v>0</v>
      </c>
      <c r="L134" s="188">
        <f>SUM(I134,J134:K136)</f>
        <v>28</v>
      </c>
      <c r="M134" s="208">
        <v>1</v>
      </c>
      <c r="N134" s="208">
        <v>0</v>
      </c>
    </row>
    <row r="135" spans="1:14" x14ac:dyDescent="0.2">
      <c r="A135" s="194">
        <v>43203</v>
      </c>
      <c r="B135" s="194">
        <v>43240</v>
      </c>
      <c r="C135" s="187">
        <f t="shared" si="8"/>
        <v>37</v>
      </c>
      <c r="D135" s="194">
        <v>43253</v>
      </c>
      <c r="E135" s="187">
        <f t="shared" si="9"/>
        <v>50</v>
      </c>
      <c r="F135" s="184" t="s">
        <v>345</v>
      </c>
      <c r="G135" s="184" t="s">
        <v>313</v>
      </c>
      <c r="H135" s="184" t="s">
        <v>58</v>
      </c>
      <c r="J135" s="187">
        <v>4</v>
      </c>
      <c r="K135" s="187">
        <v>1</v>
      </c>
    </row>
    <row r="136" spans="1:14" x14ac:dyDescent="0.2">
      <c r="A136" s="194">
        <v>43203</v>
      </c>
      <c r="B136" s="194">
        <v>43240</v>
      </c>
      <c r="C136" s="187">
        <f t="shared" si="8"/>
        <v>37</v>
      </c>
      <c r="D136" s="194">
        <v>43253</v>
      </c>
      <c r="E136" s="187">
        <f t="shared" si="9"/>
        <v>50</v>
      </c>
      <c r="F136" s="184" t="s">
        <v>346</v>
      </c>
      <c r="G136" s="184" t="s">
        <v>313</v>
      </c>
      <c r="H136" s="184" t="s">
        <v>58</v>
      </c>
      <c r="J136" s="187">
        <v>8</v>
      </c>
      <c r="K136" s="187">
        <v>0</v>
      </c>
    </row>
    <row r="137" spans="1:14" x14ac:dyDescent="0.2">
      <c r="A137" s="194">
        <v>43197</v>
      </c>
      <c r="B137" s="194">
        <v>43233</v>
      </c>
      <c r="C137" s="187">
        <f t="shared" si="8"/>
        <v>36</v>
      </c>
      <c r="D137" s="194">
        <v>43247</v>
      </c>
      <c r="E137" s="187">
        <f t="shared" si="9"/>
        <v>50</v>
      </c>
      <c r="F137" s="184" t="s">
        <v>281</v>
      </c>
      <c r="G137" s="184" t="s">
        <v>313</v>
      </c>
      <c r="H137" s="184" t="s">
        <v>58</v>
      </c>
      <c r="I137" s="187">
        <v>5</v>
      </c>
      <c r="J137" s="187">
        <v>38</v>
      </c>
      <c r="K137" s="187">
        <v>1</v>
      </c>
      <c r="L137" s="188">
        <f>SUM(I137,J137:K139)</f>
        <v>111</v>
      </c>
      <c r="M137" s="208">
        <v>1</v>
      </c>
      <c r="N137" s="184" t="s">
        <v>423</v>
      </c>
    </row>
    <row r="138" spans="1:14" x14ac:dyDescent="0.2">
      <c r="A138" s="194">
        <v>43197</v>
      </c>
      <c r="B138" s="194">
        <v>43233</v>
      </c>
      <c r="C138" s="187">
        <f t="shared" si="8"/>
        <v>36</v>
      </c>
      <c r="D138" s="194">
        <v>43247</v>
      </c>
      <c r="E138" s="187">
        <f t="shared" si="9"/>
        <v>50</v>
      </c>
      <c r="F138" s="184" t="s">
        <v>282</v>
      </c>
      <c r="G138" s="184" t="s">
        <v>313</v>
      </c>
      <c r="H138" s="184" t="s">
        <v>58</v>
      </c>
      <c r="J138" s="187">
        <v>31</v>
      </c>
      <c r="K138" s="187">
        <v>0</v>
      </c>
    </row>
    <row r="139" spans="1:14" x14ac:dyDescent="0.2">
      <c r="A139" s="194">
        <v>43197</v>
      </c>
      <c r="B139" s="194">
        <v>43233</v>
      </c>
      <c r="C139" s="187">
        <f t="shared" si="8"/>
        <v>36</v>
      </c>
      <c r="D139" s="194">
        <v>43247</v>
      </c>
      <c r="E139" s="187">
        <f t="shared" si="9"/>
        <v>50</v>
      </c>
      <c r="F139" s="184" t="s">
        <v>283</v>
      </c>
      <c r="G139" s="184" t="s">
        <v>313</v>
      </c>
      <c r="H139" s="184" t="s">
        <v>58</v>
      </c>
      <c r="J139" s="187">
        <v>32</v>
      </c>
      <c r="K139" s="187">
        <v>4</v>
      </c>
    </row>
    <row r="140" spans="1:14" x14ac:dyDescent="0.2">
      <c r="A140" s="194">
        <v>43197</v>
      </c>
      <c r="B140" s="194">
        <v>43233</v>
      </c>
      <c r="C140" s="187">
        <f t="shared" si="8"/>
        <v>36</v>
      </c>
      <c r="D140" s="194">
        <v>43247</v>
      </c>
      <c r="E140" s="187">
        <f t="shared" si="9"/>
        <v>50</v>
      </c>
      <c r="F140" s="184" t="s">
        <v>287</v>
      </c>
      <c r="G140" s="184" t="s">
        <v>313</v>
      </c>
      <c r="H140" s="184" t="s">
        <v>58</v>
      </c>
      <c r="I140" s="187">
        <v>46</v>
      </c>
      <c r="J140" s="187">
        <v>139</v>
      </c>
      <c r="K140" s="187">
        <v>9</v>
      </c>
      <c r="L140" s="188">
        <f>SUM(I140,J140:K142)</f>
        <v>502</v>
      </c>
      <c r="M140" s="208">
        <v>1</v>
      </c>
      <c r="N140" s="208">
        <v>4</v>
      </c>
    </row>
    <row r="141" spans="1:14" x14ac:dyDescent="0.2">
      <c r="A141" s="194">
        <v>43197</v>
      </c>
      <c r="B141" s="194">
        <v>43233</v>
      </c>
      <c r="C141" s="187">
        <f t="shared" si="8"/>
        <v>36</v>
      </c>
      <c r="D141" s="194">
        <v>43247</v>
      </c>
      <c r="E141" s="187">
        <f t="shared" si="9"/>
        <v>50</v>
      </c>
      <c r="F141" s="184" t="s">
        <v>289</v>
      </c>
      <c r="G141" s="184" t="s">
        <v>313</v>
      </c>
      <c r="H141" s="184" t="s">
        <v>58</v>
      </c>
      <c r="J141" s="187">
        <v>121</v>
      </c>
      <c r="K141" s="187">
        <v>6</v>
      </c>
    </row>
    <row r="142" spans="1:14" x14ac:dyDescent="0.2">
      <c r="A142" s="194">
        <v>43197</v>
      </c>
      <c r="B142" s="194">
        <v>43233</v>
      </c>
      <c r="C142" s="187">
        <f t="shared" si="8"/>
        <v>36</v>
      </c>
      <c r="D142" s="194">
        <v>43247</v>
      </c>
      <c r="E142" s="187">
        <f t="shared" si="9"/>
        <v>50</v>
      </c>
      <c r="F142" s="184" t="s">
        <v>288</v>
      </c>
      <c r="G142" s="184" t="s">
        <v>313</v>
      </c>
      <c r="H142" s="184" t="s">
        <v>58</v>
      </c>
      <c r="J142" s="187">
        <v>164</v>
      </c>
      <c r="K142" s="187">
        <v>17</v>
      </c>
    </row>
    <row r="143" spans="1:14" x14ac:dyDescent="0.2">
      <c r="A143" s="194">
        <v>43199</v>
      </c>
      <c r="B143" s="194">
        <v>43235</v>
      </c>
      <c r="C143" s="187">
        <f t="shared" si="8"/>
        <v>36</v>
      </c>
      <c r="D143" s="194">
        <v>43249</v>
      </c>
      <c r="E143" s="187">
        <f t="shared" si="9"/>
        <v>50</v>
      </c>
      <c r="F143" s="184" t="s">
        <v>317</v>
      </c>
      <c r="G143" s="184" t="s">
        <v>313</v>
      </c>
      <c r="H143" s="184" t="s">
        <v>58</v>
      </c>
      <c r="I143" s="187">
        <v>11</v>
      </c>
      <c r="J143" s="187">
        <v>50</v>
      </c>
      <c r="K143" s="187">
        <v>2</v>
      </c>
      <c r="L143" s="188">
        <f>SUM(I143,J143:K145)</f>
        <v>103</v>
      </c>
      <c r="M143" s="208">
        <v>0</v>
      </c>
      <c r="N143" s="208">
        <v>3</v>
      </c>
    </row>
    <row r="144" spans="1:14" x14ac:dyDescent="0.2">
      <c r="A144" s="194">
        <v>43199</v>
      </c>
      <c r="B144" s="194">
        <v>43235</v>
      </c>
      <c r="C144" s="187">
        <f t="shared" si="8"/>
        <v>36</v>
      </c>
      <c r="D144" s="194">
        <v>43249</v>
      </c>
      <c r="E144" s="187">
        <f t="shared" si="9"/>
        <v>50</v>
      </c>
      <c r="F144" s="184" t="s">
        <v>318</v>
      </c>
      <c r="G144" s="184" t="s">
        <v>313</v>
      </c>
      <c r="H144" s="184" t="s">
        <v>58</v>
      </c>
      <c r="J144" s="187">
        <v>23</v>
      </c>
      <c r="K144" s="187">
        <v>0</v>
      </c>
    </row>
    <row r="145" spans="1:11" x14ac:dyDescent="0.2">
      <c r="A145" s="194">
        <v>43199</v>
      </c>
      <c r="B145" s="194">
        <v>43235</v>
      </c>
      <c r="C145" s="187">
        <f t="shared" si="8"/>
        <v>36</v>
      </c>
      <c r="D145" s="194">
        <v>43249</v>
      </c>
      <c r="E145" s="187">
        <f t="shared" si="9"/>
        <v>50</v>
      </c>
      <c r="F145" s="184" t="s">
        <v>319</v>
      </c>
      <c r="G145" s="184" t="s">
        <v>313</v>
      </c>
      <c r="H145" s="184" t="s">
        <v>58</v>
      </c>
      <c r="J145" s="187">
        <v>17</v>
      </c>
      <c r="K145" s="187">
        <v>0</v>
      </c>
    </row>
  </sheetData>
  <sortState xmlns:xlrd2="http://schemas.microsoft.com/office/spreadsheetml/2017/richdata2" ref="A2:N145">
    <sortCondition ref="F2:F1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FC48-0A60-DE46-97FF-1A6A3F00D637}">
  <dimension ref="A1:H57"/>
  <sheetViews>
    <sheetView topLeftCell="A27" workbookViewId="0">
      <selection activeCell="E58" sqref="E58"/>
    </sheetView>
  </sheetViews>
  <sheetFormatPr baseColWidth="10" defaultRowHeight="16" x14ac:dyDescent="0.2"/>
  <cols>
    <col min="4" max="4" width="9.5" customWidth="1"/>
    <col min="5" max="5" width="13.6640625" style="203" bestFit="1" customWidth="1"/>
    <col min="6" max="6" width="11" style="203" bestFit="1" customWidth="1"/>
    <col min="7" max="7" width="16.33203125" bestFit="1" customWidth="1"/>
    <col min="8" max="8" width="16.1640625" customWidth="1"/>
  </cols>
  <sheetData>
    <row r="1" spans="1:8" x14ac:dyDescent="0.2">
      <c r="A1" s="198" t="s">
        <v>399</v>
      </c>
      <c r="B1" s="198" t="s">
        <v>406</v>
      </c>
      <c r="C1" s="198" t="s">
        <v>400</v>
      </c>
      <c r="D1" s="198" t="s">
        <v>401</v>
      </c>
      <c r="E1" s="202" t="s">
        <v>402</v>
      </c>
      <c r="F1" s="202" t="s">
        <v>403</v>
      </c>
      <c r="G1" s="199" t="s">
        <v>404</v>
      </c>
      <c r="H1" s="199" t="s">
        <v>405</v>
      </c>
    </row>
    <row r="2" spans="1:8" x14ac:dyDescent="0.2">
      <c r="A2" s="198" t="s">
        <v>78</v>
      </c>
      <c r="B2" s="198" t="s">
        <v>37</v>
      </c>
      <c r="C2" s="198" t="s">
        <v>395</v>
      </c>
      <c r="D2" s="198" t="s">
        <v>397</v>
      </c>
      <c r="E2" s="202">
        <v>0.25</v>
      </c>
      <c r="F2" s="202">
        <v>0.25</v>
      </c>
      <c r="G2" t="s">
        <v>39</v>
      </c>
      <c r="H2" s="201">
        <v>43193</v>
      </c>
    </row>
    <row r="3" spans="1:8" x14ac:dyDescent="0.2">
      <c r="A3" s="198" t="s">
        <v>114</v>
      </c>
      <c r="B3" s="198" t="s">
        <v>37</v>
      </c>
      <c r="C3" s="198" t="s">
        <v>395</v>
      </c>
      <c r="D3" s="198" t="s">
        <v>397</v>
      </c>
      <c r="E3" s="202">
        <v>9</v>
      </c>
      <c r="F3" s="202">
        <v>2.2810359</v>
      </c>
      <c r="G3" t="s">
        <v>39</v>
      </c>
      <c r="H3" s="201">
        <v>43198</v>
      </c>
    </row>
    <row r="4" spans="1:8" x14ac:dyDescent="0.2">
      <c r="A4" s="198" t="s">
        <v>145</v>
      </c>
      <c r="B4" s="198" t="s">
        <v>37</v>
      </c>
      <c r="C4" s="198" t="s">
        <v>395</v>
      </c>
      <c r="D4" s="198" t="s">
        <v>397</v>
      </c>
      <c r="E4" s="202">
        <v>46.125</v>
      </c>
      <c r="F4" s="202">
        <v>5.6347138000000001</v>
      </c>
      <c r="G4" t="s">
        <v>39</v>
      </c>
      <c r="H4" s="201">
        <v>43202</v>
      </c>
    </row>
    <row r="5" spans="1:8" x14ac:dyDescent="0.2">
      <c r="A5" s="198" t="s">
        <v>75</v>
      </c>
      <c r="B5" s="198" t="s">
        <v>37</v>
      </c>
      <c r="C5" s="198" t="s">
        <v>395</v>
      </c>
      <c r="D5" s="198" t="s">
        <v>397</v>
      </c>
      <c r="E5" s="202">
        <v>9.625</v>
      </c>
      <c r="F5" s="202">
        <v>1.8666480999999999</v>
      </c>
      <c r="G5" t="s">
        <v>67</v>
      </c>
      <c r="H5" s="201">
        <v>43192</v>
      </c>
    </row>
    <row r="6" spans="1:8" x14ac:dyDescent="0.2">
      <c r="A6" s="198" t="s">
        <v>123</v>
      </c>
      <c r="B6" s="198" t="s">
        <v>37</v>
      </c>
      <c r="C6" s="198" t="s">
        <v>395</v>
      </c>
      <c r="D6" s="198" t="s">
        <v>397</v>
      </c>
      <c r="E6" s="202">
        <v>9.0833329999999997</v>
      </c>
      <c r="F6" s="202">
        <v>3.8331069000000002</v>
      </c>
      <c r="G6" t="s">
        <v>67</v>
      </c>
      <c r="H6" s="201">
        <v>43198</v>
      </c>
    </row>
    <row r="7" spans="1:8" x14ac:dyDescent="0.2">
      <c r="A7" s="198" t="s">
        <v>111</v>
      </c>
      <c r="B7" s="198" t="s">
        <v>37</v>
      </c>
      <c r="C7" s="198" t="s">
        <v>395</v>
      </c>
      <c r="D7" s="198" t="s">
        <v>397</v>
      </c>
      <c r="E7" s="202">
        <v>8.8333329999999997</v>
      </c>
      <c r="F7" s="202">
        <v>5.6351760000000004</v>
      </c>
      <c r="G7" t="s">
        <v>67</v>
      </c>
      <c r="H7" s="201">
        <v>43204</v>
      </c>
    </row>
    <row r="8" spans="1:8" x14ac:dyDescent="0.2">
      <c r="A8" s="198" t="s">
        <v>98</v>
      </c>
      <c r="B8" s="198" t="s">
        <v>28</v>
      </c>
      <c r="C8" s="198" t="s">
        <v>395</v>
      </c>
      <c r="D8" s="198" t="s">
        <v>397</v>
      </c>
      <c r="E8" s="202">
        <v>8.2916670000000003</v>
      </c>
      <c r="F8" s="202">
        <v>7.1821538</v>
      </c>
      <c r="G8" t="s">
        <v>68</v>
      </c>
      <c r="H8" s="201">
        <v>43196</v>
      </c>
    </row>
    <row r="9" spans="1:8" x14ac:dyDescent="0.2">
      <c r="A9" s="198" t="s">
        <v>148</v>
      </c>
      <c r="B9" s="198" t="s">
        <v>28</v>
      </c>
      <c r="C9" s="198" t="s">
        <v>395</v>
      </c>
      <c r="D9" s="198" t="s">
        <v>397</v>
      </c>
      <c r="E9" s="202">
        <v>10.375</v>
      </c>
      <c r="F9" s="202">
        <v>4.9812146999999998</v>
      </c>
      <c r="G9" t="s">
        <v>68</v>
      </c>
      <c r="H9" s="201">
        <v>43203</v>
      </c>
    </row>
    <row r="10" spans="1:8" x14ac:dyDescent="0.2">
      <c r="A10" s="198" t="s">
        <v>146</v>
      </c>
      <c r="B10" s="198" t="s">
        <v>28</v>
      </c>
      <c r="C10" s="198" t="s">
        <v>395</v>
      </c>
      <c r="D10" s="198" t="s">
        <v>397</v>
      </c>
      <c r="E10" s="202">
        <v>21.958333</v>
      </c>
      <c r="F10" s="202">
        <v>1.7955384999999999</v>
      </c>
      <c r="G10" t="s">
        <v>68</v>
      </c>
      <c r="H10" s="201">
        <v>43205</v>
      </c>
    </row>
    <row r="11" spans="1:8" x14ac:dyDescent="0.2">
      <c r="A11" s="198" t="s">
        <v>62</v>
      </c>
      <c r="B11" s="198" t="s">
        <v>28</v>
      </c>
      <c r="C11" s="198" t="s">
        <v>395</v>
      </c>
      <c r="D11" s="198" t="s">
        <v>397</v>
      </c>
      <c r="E11" s="202">
        <v>2.7083330000000001</v>
      </c>
      <c r="F11" s="202">
        <v>2.2511570999999999</v>
      </c>
      <c r="G11" t="s">
        <v>77</v>
      </c>
      <c r="H11" s="201">
        <v>43191</v>
      </c>
    </row>
    <row r="12" spans="1:8" x14ac:dyDescent="0.2">
      <c r="A12" s="198" t="s">
        <v>48</v>
      </c>
      <c r="B12" s="198" t="s">
        <v>28</v>
      </c>
      <c r="C12" s="198" t="s">
        <v>395</v>
      </c>
      <c r="D12" s="198" t="s">
        <v>397</v>
      </c>
      <c r="E12" s="202">
        <v>6.9166670000000003</v>
      </c>
      <c r="F12" s="202">
        <v>1.0631126</v>
      </c>
      <c r="G12" t="s">
        <v>77</v>
      </c>
      <c r="H12" s="201">
        <v>43198</v>
      </c>
    </row>
    <row r="13" spans="1:8" x14ac:dyDescent="0.2">
      <c r="A13" s="198" t="s">
        <v>133</v>
      </c>
      <c r="B13" s="198" t="s">
        <v>28</v>
      </c>
      <c r="C13" s="198" t="s">
        <v>395</v>
      </c>
      <c r="D13" s="198" t="s">
        <v>397</v>
      </c>
      <c r="E13" s="202">
        <v>4.125</v>
      </c>
      <c r="F13" s="202">
        <v>3.5859971000000002</v>
      </c>
      <c r="G13" t="s">
        <v>77</v>
      </c>
      <c r="H13" s="201">
        <v>43200</v>
      </c>
    </row>
    <row r="14" spans="1:8" x14ac:dyDescent="0.2">
      <c r="A14" s="198"/>
      <c r="B14" s="198"/>
      <c r="C14" s="198"/>
      <c r="D14" s="198"/>
      <c r="E14" s="202"/>
      <c r="F14" s="202"/>
      <c r="H14" s="201"/>
    </row>
    <row r="15" spans="1:8" x14ac:dyDescent="0.2">
      <c r="A15" s="198" t="s">
        <v>74</v>
      </c>
      <c r="B15" s="198" t="s">
        <v>29</v>
      </c>
      <c r="C15" s="198" t="s">
        <v>398</v>
      </c>
      <c r="D15" s="198" t="s">
        <v>397</v>
      </c>
      <c r="E15" s="202">
        <v>5.375</v>
      </c>
      <c r="F15" s="202">
        <v>2.8394542</v>
      </c>
      <c r="G15" t="s">
        <v>61</v>
      </c>
      <c r="H15" s="201">
        <v>43192</v>
      </c>
    </row>
    <row r="16" spans="1:8" x14ac:dyDescent="0.2">
      <c r="A16" s="198" t="s">
        <v>63</v>
      </c>
      <c r="B16" s="198" t="s">
        <v>29</v>
      </c>
      <c r="C16" s="198" t="s">
        <v>398</v>
      </c>
      <c r="D16" s="198" t="s">
        <v>397</v>
      </c>
      <c r="E16" s="202">
        <v>6.9583329999999997</v>
      </c>
      <c r="F16" s="202">
        <v>8.8143466999999998</v>
      </c>
      <c r="G16" t="s">
        <v>61</v>
      </c>
      <c r="H16" s="201">
        <v>43198</v>
      </c>
    </row>
    <row r="17" spans="1:8" x14ac:dyDescent="0.2">
      <c r="A17" s="198" t="s">
        <v>134</v>
      </c>
      <c r="B17" s="198" t="s">
        <v>29</v>
      </c>
      <c r="C17" s="198" t="s">
        <v>398</v>
      </c>
      <c r="D17" s="198" t="s">
        <v>397</v>
      </c>
      <c r="E17" s="202">
        <v>9.3333329999999997</v>
      </c>
      <c r="F17" s="202">
        <v>3.6429155</v>
      </c>
      <c r="G17" t="s">
        <v>61</v>
      </c>
      <c r="H17" s="201">
        <v>43200</v>
      </c>
    </row>
    <row r="18" spans="1:8" x14ac:dyDescent="0.2">
      <c r="A18" s="198" t="s">
        <v>47</v>
      </c>
      <c r="B18" s="198" t="s">
        <v>29</v>
      </c>
      <c r="C18" s="198" t="s">
        <v>398</v>
      </c>
      <c r="D18" s="198" t="s">
        <v>397</v>
      </c>
      <c r="E18" s="202">
        <v>7.5416670000000003</v>
      </c>
      <c r="F18" s="202">
        <v>2.0207259</v>
      </c>
      <c r="G18" t="s">
        <v>119</v>
      </c>
      <c r="H18" s="201">
        <v>43190</v>
      </c>
    </row>
    <row r="19" spans="1:8" x14ac:dyDescent="0.2">
      <c r="A19" s="198" t="s">
        <v>49</v>
      </c>
      <c r="B19" s="198" t="s">
        <v>29</v>
      </c>
      <c r="C19" s="198" t="s">
        <v>398</v>
      </c>
      <c r="D19" s="198" t="s">
        <v>397</v>
      </c>
      <c r="E19" s="202">
        <v>25.25</v>
      </c>
      <c r="F19" s="202">
        <v>5.8510149</v>
      </c>
      <c r="G19" t="s">
        <v>119</v>
      </c>
      <c r="H19" s="201">
        <v>43198</v>
      </c>
    </row>
    <row r="20" spans="1:8" x14ac:dyDescent="0.2">
      <c r="A20" s="198" t="s">
        <v>147</v>
      </c>
      <c r="B20" s="198" t="s">
        <v>29</v>
      </c>
      <c r="C20" s="198" t="s">
        <v>398</v>
      </c>
      <c r="D20" s="198" t="s">
        <v>397</v>
      </c>
      <c r="E20" s="202">
        <v>0.375</v>
      </c>
      <c r="F20" s="202">
        <v>0.45069389999999998</v>
      </c>
      <c r="G20" t="s">
        <v>119</v>
      </c>
      <c r="H20" s="201">
        <v>43202</v>
      </c>
    </row>
    <row r="21" spans="1:8" x14ac:dyDescent="0.2">
      <c r="A21" s="198" t="s">
        <v>73</v>
      </c>
      <c r="B21" s="198" t="s">
        <v>36</v>
      </c>
      <c r="C21" s="198" t="s">
        <v>398</v>
      </c>
      <c r="D21" s="198" t="s">
        <v>397</v>
      </c>
      <c r="E21" s="202">
        <v>5.7083329999999997</v>
      </c>
      <c r="F21" s="202">
        <v>1.664582</v>
      </c>
      <c r="G21" t="s">
        <v>38</v>
      </c>
      <c r="H21" s="201">
        <v>43192</v>
      </c>
    </row>
    <row r="22" spans="1:8" x14ac:dyDescent="0.2">
      <c r="A22" s="198" t="s">
        <v>105</v>
      </c>
      <c r="B22" s="198" t="s">
        <v>36</v>
      </c>
      <c r="C22" s="198" t="s">
        <v>398</v>
      </c>
      <c r="D22" s="198" t="s">
        <v>397</v>
      </c>
      <c r="E22" s="202">
        <v>13.875</v>
      </c>
      <c r="F22" s="202">
        <v>3.3071891</v>
      </c>
      <c r="G22" t="s">
        <v>38</v>
      </c>
      <c r="H22" s="201">
        <v>43197</v>
      </c>
    </row>
    <row r="23" spans="1:8" x14ac:dyDescent="0.2">
      <c r="A23" s="198" t="s">
        <v>51</v>
      </c>
      <c r="B23" s="198" t="s">
        <v>36</v>
      </c>
      <c r="C23" s="198" t="s">
        <v>398</v>
      </c>
      <c r="D23" s="198" t="s">
        <v>397</v>
      </c>
      <c r="E23" s="202">
        <v>19.791667</v>
      </c>
      <c r="F23" s="202">
        <v>6.6265720999999997</v>
      </c>
      <c r="G23" t="s">
        <v>38</v>
      </c>
      <c r="H23" s="201">
        <v>43201</v>
      </c>
    </row>
    <row r="24" spans="1:8" x14ac:dyDescent="0.2">
      <c r="A24" s="198" t="s">
        <v>121</v>
      </c>
      <c r="B24" s="198" t="s">
        <v>36</v>
      </c>
      <c r="C24" s="198" t="s">
        <v>398</v>
      </c>
      <c r="D24" s="198" t="s">
        <v>397</v>
      </c>
      <c r="E24" s="202">
        <v>8.4583329999999997</v>
      </c>
      <c r="F24" s="202">
        <v>1.6121285000000001</v>
      </c>
      <c r="G24" t="s">
        <v>42</v>
      </c>
      <c r="H24" s="201">
        <v>43197</v>
      </c>
    </row>
    <row r="25" spans="1:8" x14ac:dyDescent="0.2">
      <c r="A25" s="198" t="s">
        <v>50</v>
      </c>
      <c r="B25" s="198" t="s">
        <v>36</v>
      </c>
      <c r="C25" s="198" t="s">
        <v>398</v>
      </c>
      <c r="D25" s="198" t="s">
        <v>397</v>
      </c>
      <c r="E25" s="202">
        <v>7.5833329999999997</v>
      </c>
      <c r="F25" s="202">
        <v>0.80363759999999995</v>
      </c>
      <c r="G25" t="s">
        <v>42</v>
      </c>
      <c r="H25" s="201">
        <v>43199</v>
      </c>
    </row>
    <row r="26" spans="1:8" x14ac:dyDescent="0.2">
      <c r="A26" s="198" t="s">
        <v>100</v>
      </c>
      <c r="B26" s="198" t="s">
        <v>36</v>
      </c>
      <c r="C26" s="198" t="s">
        <v>398</v>
      </c>
      <c r="D26" s="198" t="s">
        <v>397</v>
      </c>
      <c r="E26" s="202">
        <v>7.2916670000000003</v>
      </c>
      <c r="F26" s="202">
        <v>1.8214577000000001</v>
      </c>
      <c r="G26" t="s">
        <v>42</v>
      </c>
      <c r="H26" s="201">
        <v>43206</v>
      </c>
    </row>
    <row r="27" spans="1:8" x14ac:dyDescent="0.2">
      <c r="A27" s="198"/>
      <c r="B27" s="198"/>
      <c r="C27" s="198"/>
      <c r="D27" s="198"/>
      <c r="E27" s="202"/>
      <c r="F27" s="202"/>
      <c r="H27" s="201"/>
    </row>
    <row r="28" spans="1:8" x14ac:dyDescent="0.2">
      <c r="A28" s="198" t="s">
        <v>117</v>
      </c>
      <c r="B28" s="198" t="s">
        <v>82</v>
      </c>
      <c r="C28" s="198" t="s">
        <v>395</v>
      </c>
      <c r="D28" s="198" t="s">
        <v>396</v>
      </c>
      <c r="E28" s="202">
        <v>3.875</v>
      </c>
      <c r="F28" s="202">
        <v>2.912795</v>
      </c>
      <c r="G28" t="s">
        <v>113</v>
      </c>
      <c r="H28" s="201">
        <v>43197</v>
      </c>
    </row>
    <row r="29" spans="1:8" x14ac:dyDescent="0.2">
      <c r="A29" s="198" t="s">
        <v>130</v>
      </c>
      <c r="B29" s="198" t="s">
        <v>82</v>
      </c>
      <c r="C29" s="198" t="s">
        <v>395</v>
      </c>
      <c r="D29" s="198" t="s">
        <v>396</v>
      </c>
      <c r="E29" s="202">
        <v>7.9166670000000003</v>
      </c>
      <c r="F29" s="202">
        <v>3.4512980999999998</v>
      </c>
      <c r="G29" t="s">
        <v>113</v>
      </c>
      <c r="H29" s="201">
        <v>43199</v>
      </c>
    </row>
    <row r="30" spans="1:8" x14ac:dyDescent="0.2">
      <c r="A30" s="198" t="s">
        <v>149</v>
      </c>
      <c r="B30" s="198" t="s">
        <v>82</v>
      </c>
      <c r="C30" s="198" t="s">
        <v>395</v>
      </c>
      <c r="D30" s="198" t="s">
        <v>396</v>
      </c>
      <c r="E30" s="202">
        <v>2.0833330000000001</v>
      </c>
      <c r="F30" s="202">
        <v>1.6786030999999999</v>
      </c>
      <c r="G30" t="s">
        <v>113</v>
      </c>
      <c r="H30" s="201">
        <v>43204</v>
      </c>
    </row>
    <row r="31" spans="1:8" x14ac:dyDescent="0.2">
      <c r="A31" s="198" t="s">
        <v>97</v>
      </c>
      <c r="B31" s="198" t="s">
        <v>82</v>
      </c>
      <c r="C31" s="198" t="s">
        <v>395</v>
      </c>
      <c r="D31" s="198" t="s">
        <v>396</v>
      </c>
      <c r="E31" s="202">
        <v>10.041667</v>
      </c>
      <c r="F31" s="202">
        <v>4.0588123999999999</v>
      </c>
      <c r="G31" t="s">
        <v>94</v>
      </c>
      <c r="H31" s="201">
        <v>43195</v>
      </c>
    </row>
    <row r="32" spans="1:8" x14ac:dyDescent="0.2">
      <c r="A32" s="198" t="s">
        <v>120</v>
      </c>
      <c r="B32" s="198" t="s">
        <v>82</v>
      </c>
      <c r="C32" s="198" t="s">
        <v>395</v>
      </c>
      <c r="D32" s="198" t="s">
        <v>396</v>
      </c>
      <c r="E32" s="202">
        <v>2.6666669999999999</v>
      </c>
      <c r="F32" s="202">
        <v>1.3248428000000001</v>
      </c>
      <c r="G32" t="s">
        <v>94</v>
      </c>
      <c r="H32" s="201">
        <v>43198</v>
      </c>
    </row>
    <row r="33" spans="1:8" x14ac:dyDescent="0.2">
      <c r="A33" s="198" t="s">
        <v>135</v>
      </c>
      <c r="B33" s="198" t="s">
        <v>82</v>
      </c>
      <c r="C33" s="198" t="s">
        <v>395</v>
      </c>
      <c r="D33" s="198" t="s">
        <v>396</v>
      </c>
      <c r="E33" s="202">
        <v>5.1666670000000003</v>
      </c>
      <c r="F33" s="202">
        <v>2.8513519999999999</v>
      </c>
      <c r="G33" t="s">
        <v>94</v>
      </c>
      <c r="H33" s="201">
        <v>43200</v>
      </c>
    </row>
    <row r="34" spans="1:8" x14ac:dyDescent="0.2">
      <c r="A34" s="198" t="s">
        <v>115</v>
      </c>
      <c r="B34" s="198" t="s">
        <v>83</v>
      </c>
      <c r="C34" s="198" t="s">
        <v>395</v>
      </c>
      <c r="D34" s="198" t="s">
        <v>396</v>
      </c>
      <c r="E34" s="202">
        <v>4.2083329999999997</v>
      </c>
      <c r="F34" s="202">
        <v>1.0777098000000001</v>
      </c>
      <c r="G34" t="s">
        <v>95</v>
      </c>
      <c r="H34" s="201">
        <v>43197</v>
      </c>
    </row>
    <row r="35" spans="1:8" x14ac:dyDescent="0.2">
      <c r="A35" s="198" t="s">
        <v>99</v>
      </c>
      <c r="B35" s="198" t="s">
        <v>83</v>
      </c>
      <c r="C35" s="198" t="s">
        <v>395</v>
      </c>
      <c r="D35" s="198" t="s">
        <v>396</v>
      </c>
      <c r="E35" s="202">
        <v>1.9166669999999999</v>
      </c>
      <c r="F35" s="202">
        <v>1.8427787</v>
      </c>
      <c r="G35" t="s">
        <v>95</v>
      </c>
      <c r="H35" s="201">
        <v>43199</v>
      </c>
    </row>
    <row r="36" spans="1:8" x14ac:dyDescent="0.2">
      <c r="A36" s="198" t="s">
        <v>163</v>
      </c>
      <c r="B36" s="198" t="s">
        <v>83</v>
      </c>
      <c r="C36" s="198" t="s">
        <v>395</v>
      </c>
      <c r="D36" s="198" t="s">
        <v>396</v>
      </c>
      <c r="E36" s="202">
        <v>8</v>
      </c>
      <c r="F36" s="202">
        <v>3.5990449999999998</v>
      </c>
      <c r="G36" t="s">
        <v>95</v>
      </c>
      <c r="H36" s="201">
        <v>43204</v>
      </c>
    </row>
    <row r="37" spans="1:8" x14ac:dyDescent="0.2">
      <c r="A37" s="198" t="s">
        <v>101</v>
      </c>
      <c r="B37" s="198" t="s">
        <v>83</v>
      </c>
      <c r="C37" s="198" t="s">
        <v>395</v>
      </c>
      <c r="D37" s="198" t="s">
        <v>396</v>
      </c>
      <c r="E37" s="202">
        <v>2.0416669999999999</v>
      </c>
      <c r="F37" s="202">
        <v>2.1298963</v>
      </c>
      <c r="G37" t="s">
        <v>96</v>
      </c>
      <c r="H37" s="201">
        <v>43194</v>
      </c>
    </row>
    <row r="38" spans="1:8" x14ac:dyDescent="0.2">
      <c r="A38" s="198" t="s">
        <v>164</v>
      </c>
      <c r="B38" s="198" t="s">
        <v>83</v>
      </c>
      <c r="C38" s="198" t="s">
        <v>395</v>
      </c>
      <c r="D38" s="198" t="s">
        <v>396</v>
      </c>
      <c r="E38" s="202">
        <v>21.416667</v>
      </c>
      <c r="F38" s="202">
        <v>8.4782195999999992</v>
      </c>
      <c r="G38" t="s">
        <v>96</v>
      </c>
      <c r="H38" s="201">
        <v>43205</v>
      </c>
    </row>
    <row r="39" spans="1:8" x14ac:dyDescent="0.2">
      <c r="A39" s="198" t="s">
        <v>168</v>
      </c>
      <c r="B39" s="198" t="s">
        <v>83</v>
      </c>
      <c r="C39" s="198" t="s">
        <v>395</v>
      </c>
      <c r="D39" s="198" t="s">
        <v>396</v>
      </c>
      <c r="E39" s="202">
        <v>35.583333000000003</v>
      </c>
      <c r="F39" s="202">
        <v>3.1729652000000002</v>
      </c>
      <c r="G39" t="s">
        <v>96</v>
      </c>
      <c r="H39" s="201">
        <v>43209</v>
      </c>
    </row>
    <row r="40" spans="1:8" x14ac:dyDescent="0.2">
      <c r="A40" s="198"/>
      <c r="B40" s="198"/>
      <c r="C40" s="198"/>
      <c r="D40" s="198"/>
      <c r="E40" s="202"/>
      <c r="F40" s="202"/>
      <c r="H40" s="201"/>
    </row>
    <row r="41" spans="1:8" x14ac:dyDescent="0.2">
      <c r="A41" s="198" t="s">
        <v>106</v>
      </c>
      <c r="B41" s="198" t="s">
        <v>60</v>
      </c>
      <c r="C41" s="198" t="s">
        <v>398</v>
      </c>
      <c r="D41" s="198" t="s">
        <v>396</v>
      </c>
      <c r="E41" s="202">
        <v>1</v>
      </c>
      <c r="F41" s="202">
        <v>0.43301269999999997</v>
      </c>
      <c r="G41" t="s">
        <v>65</v>
      </c>
      <c r="H41" s="201">
        <v>43195</v>
      </c>
    </row>
    <row r="42" spans="1:8" x14ac:dyDescent="0.2">
      <c r="A42" s="198" t="s">
        <v>122</v>
      </c>
      <c r="B42" s="198" t="s">
        <v>60</v>
      </c>
      <c r="C42" s="198" t="s">
        <v>398</v>
      </c>
      <c r="D42" s="198" t="s">
        <v>396</v>
      </c>
      <c r="E42" s="202">
        <v>29.166667</v>
      </c>
      <c r="F42" s="202">
        <v>2.9297325999999999</v>
      </c>
      <c r="G42" t="s">
        <v>65</v>
      </c>
      <c r="H42" s="201">
        <v>43198</v>
      </c>
    </row>
    <row r="43" spans="1:8" x14ac:dyDescent="0.2">
      <c r="A43" s="198" t="s">
        <v>70</v>
      </c>
      <c r="B43" s="198" t="s">
        <v>60</v>
      </c>
      <c r="C43" s="198" t="s">
        <v>398</v>
      </c>
      <c r="D43" s="198" t="s">
        <v>396</v>
      </c>
      <c r="E43" s="202">
        <v>6.9166670000000003</v>
      </c>
      <c r="F43" s="202">
        <v>5.3067371000000003</v>
      </c>
      <c r="G43" t="s">
        <v>65</v>
      </c>
      <c r="H43" s="201">
        <v>43199</v>
      </c>
    </row>
    <row r="44" spans="1:8" x14ac:dyDescent="0.2">
      <c r="A44" s="198" t="s">
        <v>71</v>
      </c>
      <c r="B44" s="198" t="s">
        <v>60</v>
      </c>
      <c r="C44" s="198" t="s">
        <v>398</v>
      </c>
      <c r="D44" s="198" t="s">
        <v>396</v>
      </c>
      <c r="E44" s="202">
        <v>21.083333</v>
      </c>
      <c r="F44" s="202">
        <v>5.3536396999999996</v>
      </c>
      <c r="G44" t="s">
        <v>66</v>
      </c>
      <c r="H44" s="201">
        <v>43192</v>
      </c>
    </row>
    <row r="45" spans="1:8" x14ac:dyDescent="0.2">
      <c r="A45" s="198" t="s">
        <v>108</v>
      </c>
      <c r="B45" s="198" t="s">
        <v>60</v>
      </c>
      <c r="C45" s="198" t="s">
        <v>398</v>
      </c>
      <c r="D45" s="198" t="s">
        <v>396</v>
      </c>
      <c r="E45" s="202">
        <v>32.958333000000003</v>
      </c>
      <c r="F45" s="202">
        <v>10.6311257</v>
      </c>
      <c r="G45" t="s">
        <v>66</v>
      </c>
      <c r="H45" s="201">
        <v>43197</v>
      </c>
    </row>
    <row r="46" spans="1:8" x14ac:dyDescent="0.2">
      <c r="A46" s="198" t="s">
        <v>150</v>
      </c>
      <c r="B46" s="198" t="s">
        <v>60</v>
      </c>
      <c r="C46" s="198" t="s">
        <v>398</v>
      </c>
      <c r="D46" s="198" t="s">
        <v>396</v>
      </c>
      <c r="E46" s="202">
        <v>7.0833329999999997</v>
      </c>
      <c r="F46" s="202">
        <v>5.0067662999999998</v>
      </c>
      <c r="G46" t="s">
        <v>66</v>
      </c>
      <c r="H46" s="201">
        <v>43203</v>
      </c>
    </row>
    <row r="47" spans="1:8" x14ac:dyDescent="0.2">
      <c r="A47" s="198" t="s">
        <v>72</v>
      </c>
      <c r="B47" s="198" t="s">
        <v>58</v>
      </c>
      <c r="C47" s="198" t="s">
        <v>398</v>
      </c>
      <c r="D47" s="198" t="s">
        <v>396</v>
      </c>
      <c r="E47" s="202">
        <v>17.791667</v>
      </c>
      <c r="F47" s="202">
        <v>3.2121189999999999</v>
      </c>
      <c r="G47" t="s">
        <v>69</v>
      </c>
      <c r="H47" s="201">
        <v>43192</v>
      </c>
    </row>
    <row r="48" spans="1:8" x14ac:dyDescent="0.2">
      <c r="A48" s="198" t="s">
        <v>116</v>
      </c>
      <c r="B48" s="198" t="s">
        <v>58</v>
      </c>
      <c r="C48" s="198" t="s">
        <v>398</v>
      </c>
      <c r="D48" s="198" t="s">
        <v>396</v>
      </c>
      <c r="E48" s="202">
        <v>4.6666670000000003</v>
      </c>
      <c r="F48" s="202">
        <v>0.71078010000000003</v>
      </c>
      <c r="G48" t="s">
        <v>69</v>
      </c>
      <c r="H48" s="201">
        <v>43197</v>
      </c>
    </row>
    <row r="49" spans="1:8" x14ac:dyDescent="0.2">
      <c r="A49" s="198" t="s">
        <v>110</v>
      </c>
      <c r="B49" s="198" t="s">
        <v>58</v>
      </c>
      <c r="C49" s="198" t="s">
        <v>398</v>
      </c>
      <c r="D49" s="198" t="s">
        <v>396</v>
      </c>
      <c r="E49" s="202">
        <v>2.1666669999999999</v>
      </c>
      <c r="F49" s="202">
        <v>0.80363759999999995</v>
      </c>
      <c r="G49" t="s">
        <v>69</v>
      </c>
      <c r="H49" s="201">
        <v>43203</v>
      </c>
    </row>
    <row r="50" spans="1:8" x14ac:dyDescent="0.2">
      <c r="A50" s="198" t="s">
        <v>79</v>
      </c>
      <c r="B50" s="198" t="s">
        <v>58</v>
      </c>
      <c r="C50" s="198" t="s">
        <v>398</v>
      </c>
      <c r="D50" s="198" t="s">
        <v>396</v>
      </c>
      <c r="E50" s="202">
        <v>1.4166669999999999</v>
      </c>
      <c r="F50" s="202">
        <v>0.85085739999999999</v>
      </c>
      <c r="G50" t="s">
        <v>59</v>
      </c>
      <c r="H50" s="201">
        <v>43193</v>
      </c>
    </row>
    <row r="51" spans="1:8" x14ac:dyDescent="0.2">
      <c r="A51" s="198" t="s">
        <v>118</v>
      </c>
      <c r="B51" s="198" t="s">
        <v>58</v>
      </c>
      <c r="C51" s="198" t="s">
        <v>398</v>
      </c>
      <c r="D51" s="198" t="s">
        <v>396</v>
      </c>
      <c r="E51" s="202">
        <v>21.291667</v>
      </c>
      <c r="F51" s="202">
        <v>3.4034295999999999</v>
      </c>
      <c r="G51" t="s">
        <v>59</v>
      </c>
      <c r="H51" s="201">
        <v>43197</v>
      </c>
    </row>
    <row r="52" spans="1:8" x14ac:dyDescent="0.2">
      <c r="A52" s="198" t="s">
        <v>132</v>
      </c>
      <c r="B52" s="198" t="s">
        <v>58</v>
      </c>
      <c r="C52" s="198" t="s">
        <v>398</v>
      </c>
      <c r="D52" s="198" t="s">
        <v>396</v>
      </c>
      <c r="E52" s="202">
        <v>4.375</v>
      </c>
      <c r="F52" s="202">
        <v>2.1686689000000001</v>
      </c>
      <c r="G52" t="s">
        <v>59</v>
      </c>
      <c r="H52" s="201">
        <v>43199</v>
      </c>
    </row>
    <row r="54" spans="1:8" x14ac:dyDescent="0.2">
      <c r="D54" s="198" t="s">
        <v>312</v>
      </c>
      <c r="E54" s="203">
        <f>STDEV(E2:E13)</f>
        <v>12.142169420742055</v>
      </c>
    </row>
    <row r="55" spans="1:8" x14ac:dyDescent="0.2">
      <c r="D55" s="198" t="s">
        <v>311</v>
      </c>
      <c r="E55" s="203">
        <f>STDEV(E15:E26)</f>
        <v>6.7869699655082085</v>
      </c>
    </row>
    <row r="56" spans="1:8" x14ac:dyDescent="0.2">
      <c r="D56" s="198" t="s">
        <v>314</v>
      </c>
      <c r="E56" s="203">
        <f>STDEV(E28:E39)</f>
        <v>10.062428687285216</v>
      </c>
    </row>
    <row r="57" spans="1:8" x14ac:dyDescent="0.2">
      <c r="D57" s="198" t="s">
        <v>313</v>
      </c>
      <c r="E57" s="203">
        <f>STDEV(E41:E52)</f>
        <v>11.381995407235795</v>
      </c>
    </row>
  </sheetData>
  <sortState xmlns:xlrd2="http://schemas.microsoft.com/office/spreadsheetml/2017/richdata2" ref="A2:H52">
    <sortCondition ref="B2:B52"/>
    <sortCondition ref="G2:G52"/>
    <sortCondition ref="H2:H52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FA22-240E-EF46-A2C3-4A9DCAB192A4}">
  <dimension ref="A1:I51"/>
  <sheetViews>
    <sheetView workbookViewId="0">
      <selection activeCell="F22" sqref="F22"/>
    </sheetView>
  </sheetViews>
  <sheetFormatPr baseColWidth="10" defaultRowHeight="16" x14ac:dyDescent="0.2"/>
  <cols>
    <col min="1" max="1" width="11.5" style="184" customWidth="1"/>
    <col min="2" max="2" width="7.5" style="184" bestFit="1" customWidth="1"/>
    <col min="3" max="3" width="4.33203125" style="184" bestFit="1" customWidth="1"/>
    <col min="4" max="4" width="8" style="184" bestFit="1" customWidth="1"/>
    <col min="5" max="5" width="14.1640625" style="185" customWidth="1"/>
    <col min="6" max="6" width="10.83203125" style="210"/>
    <col min="7" max="7" width="10.83203125" style="213"/>
    <col min="8" max="8" width="10.83203125" style="210"/>
    <col min="9" max="9" width="10.83203125" style="215"/>
  </cols>
  <sheetData>
    <row r="1" spans="1:9" ht="51" x14ac:dyDescent="0.2">
      <c r="A1" s="189" t="s">
        <v>389</v>
      </c>
      <c r="B1" s="189" t="s">
        <v>156</v>
      </c>
      <c r="C1" s="189" t="s">
        <v>315</v>
      </c>
      <c r="D1" s="189" t="s">
        <v>316</v>
      </c>
      <c r="E1" s="191" t="s">
        <v>381</v>
      </c>
      <c r="F1" s="209" t="s">
        <v>422</v>
      </c>
      <c r="G1" s="212" t="s">
        <v>424</v>
      </c>
      <c r="H1" s="209" t="s">
        <v>421</v>
      </c>
      <c r="I1" s="212" t="s">
        <v>425</v>
      </c>
    </row>
    <row r="2" spans="1:9" x14ac:dyDescent="0.2">
      <c r="A2" s="194">
        <v>43202</v>
      </c>
      <c r="B2" s="184" t="s">
        <v>145</v>
      </c>
      <c r="C2" s="184" t="s">
        <v>312</v>
      </c>
      <c r="D2" s="184" t="s">
        <v>37</v>
      </c>
      <c r="E2" s="188">
        <v>874</v>
      </c>
      <c r="F2" s="210">
        <v>5</v>
      </c>
      <c r="G2" s="213">
        <f>F2/(E2-10)</f>
        <v>5.7870370370370367E-3</v>
      </c>
      <c r="H2" s="211">
        <v>2</v>
      </c>
      <c r="I2" s="215">
        <f>H2/10</f>
        <v>0.2</v>
      </c>
    </row>
    <row r="3" spans="1:9" x14ac:dyDescent="0.2">
      <c r="A3" s="194">
        <v>43192</v>
      </c>
      <c r="B3" s="184" t="s">
        <v>242</v>
      </c>
      <c r="C3" s="184" t="s">
        <v>312</v>
      </c>
      <c r="D3" s="184" t="s">
        <v>37</v>
      </c>
      <c r="E3" s="188">
        <v>190</v>
      </c>
      <c r="F3" s="211">
        <v>22</v>
      </c>
      <c r="G3" s="213">
        <f>F3/(E3-10)</f>
        <v>0.12222222222222222</v>
      </c>
      <c r="H3" s="211">
        <v>5</v>
      </c>
      <c r="I3" s="215">
        <f>H3/10</f>
        <v>0.5</v>
      </c>
    </row>
    <row r="4" spans="1:9" x14ac:dyDescent="0.2">
      <c r="A4" s="194">
        <v>43193</v>
      </c>
      <c r="B4" s="184" t="s">
        <v>251</v>
      </c>
      <c r="C4" s="184" t="s">
        <v>312</v>
      </c>
      <c r="D4" s="184" t="s">
        <v>37</v>
      </c>
      <c r="E4" s="188">
        <v>9</v>
      </c>
      <c r="F4" s="211">
        <v>2</v>
      </c>
      <c r="G4" s="213">
        <f>F4/E4</f>
        <v>0.22222222222222221</v>
      </c>
      <c r="H4" s="210" t="s">
        <v>423</v>
      </c>
      <c r="I4" s="216" t="s">
        <v>423</v>
      </c>
    </row>
    <row r="5" spans="1:9" x14ac:dyDescent="0.2">
      <c r="A5" s="194">
        <v>43204</v>
      </c>
      <c r="B5" s="184" t="s">
        <v>353</v>
      </c>
      <c r="C5" s="184" t="s">
        <v>312</v>
      </c>
      <c r="D5" s="184" t="s">
        <v>37</v>
      </c>
      <c r="E5" s="188">
        <v>201</v>
      </c>
      <c r="F5" s="211">
        <v>6</v>
      </c>
      <c r="G5" s="213">
        <f t="shared" ref="G5:G29" si="0">F5/(E5-10)</f>
        <v>3.1413612565445025E-2</v>
      </c>
      <c r="H5" s="211">
        <v>3</v>
      </c>
      <c r="I5" s="215">
        <f t="shared" ref="I5:I6" si="1">H5/10</f>
        <v>0.3</v>
      </c>
    </row>
    <row r="6" spans="1:9" x14ac:dyDescent="0.2">
      <c r="A6" s="194">
        <v>43198</v>
      </c>
      <c r="B6" s="184" t="s">
        <v>293</v>
      </c>
      <c r="C6" s="184" t="s">
        <v>312</v>
      </c>
      <c r="D6" s="184" t="s">
        <v>37</v>
      </c>
      <c r="E6" s="188">
        <v>223</v>
      </c>
      <c r="F6" s="211">
        <v>5</v>
      </c>
      <c r="G6" s="213">
        <f t="shared" si="0"/>
        <v>2.3474178403755867E-2</v>
      </c>
      <c r="H6" s="211">
        <v>4</v>
      </c>
      <c r="I6" s="215">
        <f t="shared" si="1"/>
        <v>0.4</v>
      </c>
    </row>
    <row r="7" spans="1:9" x14ac:dyDescent="0.2">
      <c r="A7" s="194">
        <v>43198</v>
      </c>
      <c r="B7" s="184" t="s">
        <v>296</v>
      </c>
      <c r="C7" s="184" t="s">
        <v>312</v>
      </c>
      <c r="D7" s="184" t="s">
        <v>37</v>
      </c>
      <c r="E7" s="188">
        <v>204</v>
      </c>
      <c r="F7" s="210" t="s">
        <v>423</v>
      </c>
      <c r="G7" s="214" t="s">
        <v>423</v>
      </c>
      <c r="H7" s="210" t="s">
        <v>423</v>
      </c>
      <c r="I7" s="216" t="s">
        <v>423</v>
      </c>
    </row>
    <row r="8" spans="1:9" x14ac:dyDescent="0.2">
      <c r="A8" s="194">
        <v>43198</v>
      </c>
      <c r="B8" s="184" t="s">
        <v>305</v>
      </c>
      <c r="C8" s="184" t="s">
        <v>312</v>
      </c>
      <c r="D8" s="184" t="s">
        <v>28</v>
      </c>
      <c r="E8" s="188">
        <v>46</v>
      </c>
      <c r="F8" s="211">
        <v>0</v>
      </c>
      <c r="G8" s="213">
        <f t="shared" si="0"/>
        <v>0</v>
      </c>
      <c r="H8" s="210" t="s">
        <v>423</v>
      </c>
      <c r="I8" s="216" t="s">
        <v>423</v>
      </c>
    </row>
    <row r="9" spans="1:9" x14ac:dyDescent="0.2">
      <c r="A9" s="194">
        <v>43196</v>
      </c>
      <c r="B9" s="184" t="s">
        <v>266</v>
      </c>
      <c r="C9" s="184" t="s">
        <v>312</v>
      </c>
      <c r="D9" s="184" t="s">
        <v>28</v>
      </c>
      <c r="E9" s="188">
        <v>130</v>
      </c>
      <c r="F9" s="210" t="s">
        <v>423</v>
      </c>
      <c r="G9" s="214" t="s">
        <v>423</v>
      </c>
      <c r="H9" s="210" t="s">
        <v>423</v>
      </c>
      <c r="I9" s="216" t="s">
        <v>423</v>
      </c>
    </row>
    <row r="10" spans="1:9" x14ac:dyDescent="0.2">
      <c r="A10" s="194">
        <v>43191</v>
      </c>
      <c r="B10" s="184" t="s">
        <v>233</v>
      </c>
      <c r="C10" s="184" t="s">
        <v>312</v>
      </c>
      <c r="D10" s="184" t="s">
        <v>28</v>
      </c>
      <c r="E10" s="188">
        <v>46</v>
      </c>
      <c r="F10" s="211">
        <v>3</v>
      </c>
      <c r="G10" s="213">
        <f t="shared" si="0"/>
        <v>8.3333333333333329E-2</v>
      </c>
      <c r="H10" s="210" t="s">
        <v>423</v>
      </c>
      <c r="I10" s="216" t="s">
        <v>423</v>
      </c>
    </row>
    <row r="11" spans="1:9" x14ac:dyDescent="0.2">
      <c r="A11" s="194">
        <v>43200</v>
      </c>
      <c r="B11" s="184" t="s">
        <v>377</v>
      </c>
      <c r="C11" s="184" t="s">
        <v>312</v>
      </c>
      <c r="D11" s="184" t="s">
        <v>28</v>
      </c>
      <c r="E11" s="188">
        <v>34</v>
      </c>
      <c r="F11" s="210" t="s">
        <v>423</v>
      </c>
      <c r="G11" s="214" t="s">
        <v>423</v>
      </c>
      <c r="H11" s="210" t="s">
        <v>423</v>
      </c>
      <c r="I11" s="216" t="s">
        <v>423</v>
      </c>
    </row>
    <row r="12" spans="1:9" x14ac:dyDescent="0.2">
      <c r="A12" s="194">
        <v>43205</v>
      </c>
      <c r="B12" s="184" t="s">
        <v>362</v>
      </c>
      <c r="C12" s="184" t="s">
        <v>312</v>
      </c>
      <c r="D12" s="184" t="s">
        <v>28</v>
      </c>
      <c r="E12" s="188">
        <v>449</v>
      </c>
      <c r="F12" s="211">
        <v>0</v>
      </c>
      <c r="G12" s="213">
        <f t="shared" si="0"/>
        <v>0</v>
      </c>
      <c r="H12" s="211">
        <v>2</v>
      </c>
      <c r="I12" s="215">
        <f>H12/10</f>
        <v>0.2</v>
      </c>
    </row>
    <row r="13" spans="1:9" x14ac:dyDescent="0.2">
      <c r="A13" s="194">
        <v>43203</v>
      </c>
      <c r="B13" s="184" t="s">
        <v>347</v>
      </c>
      <c r="C13" s="184" t="s">
        <v>312</v>
      </c>
      <c r="D13" s="184" t="s">
        <v>28</v>
      </c>
      <c r="E13" s="188">
        <v>174</v>
      </c>
      <c r="F13" s="211">
        <v>9</v>
      </c>
      <c r="G13" s="213">
        <f t="shared" ref="G13" si="2">F13/(E13-10)</f>
        <v>5.4878048780487805E-2</v>
      </c>
      <c r="H13" s="210" t="s">
        <v>423</v>
      </c>
      <c r="I13" s="216" t="s">
        <v>423</v>
      </c>
    </row>
    <row r="14" spans="1:9" x14ac:dyDescent="0.2">
      <c r="A14" s="194">
        <v>43198</v>
      </c>
      <c r="B14" s="184" t="s">
        <v>308</v>
      </c>
      <c r="C14" s="184" t="s">
        <v>311</v>
      </c>
      <c r="D14" s="184" t="s">
        <v>29</v>
      </c>
      <c r="E14" s="188">
        <v>442</v>
      </c>
      <c r="F14" s="211">
        <v>4</v>
      </c>
      <c r="G14" s="213">
        <f t="shared" si="0"/>
        <v>9.2592592592592587E-3</v>
      </c>
      <c r="H14" s="211">
        <v>5</v>
      </c>
      <c r="I14" s="215">
        <f t="shared" ref="I14:I15" si="3">H14/10</f>
        <v>0.5</v>
      </c>
    </row>
    <row r="15" spans="1:9" x14ac:dyDescent="0.2">
      <c r="A15" s="194">
        <v>43190</v>
      </c>
      <c r="B15" s="184" t="s">
        <v>230</v>
      </c>
      <c r="C15" s="184" t="s">
        <v>311</v>
      </c>
      <c r="D15" s="184" t="s">
        <v>29</v>
      </c>
      <c r="E15" s="188">
        <v>177</v>
      </c>
      <c r="F15" s="211">
        <v>16</v>
      </c>
      <c r="G15" s="213">
        <f t="shared" si="0"/>
        <v>9.580838323353294E-2</v>
      </c>
      <c r="H15" s="211">
        <v>5</v>
      </c>
      <c r="I15" s="215">
        <f t="shared" si="3"/>
        <v>0.5</v>
      </c>
    </row>
    <row r="16" spans="1:9" x14ac:dyDescent="0.2">
      <c r="A16" s="194">
        <v>43198</v>
      </c>
      <c r="B16" s="184" t="s">
        <v>299</v>
      </c>
      <c r="C16" s="184" t="s">
        <v>311</v>
      </c>
      <c r="D16" s="184" t="s">
        <v>29</v>
      </c>
      <c r="E16" s="188">
        <v>129</v>
      </c>
      <c r="F16" s="211">
        <v>6</v>
      </c>
      <c r="G16" s="213">
        <f t="shared" ref="G16" si="4">F16/(E16-10)</f>
        <v>5.0420168067226892E-2</v>
      </c>
      <c r="H16" s="210" t="s">
        <v>423</v>
      </c>
      <c r="I16" s="216" t="s">
        <v>423</v>
      </c>
    </row>
    <row r="17" spans="1:9" x14ac:dyDescent="0.2">
      <c r="A17" s="194">
        <v>43192</v>
      </c>
      <c r="B17" s="184" t="s">
        <v>248</v>
      </c>
      <c r="C17" s="184" t="s">
        <v>311</v>
      </c>
      <c r="D17" s="184" t="s">
        <v>29</v>
      </c>
      <c r="E17" s="188">
        <v>75</v>
      </c>
      <c r="F17" s="211">
        <v>5</v>
      </c>
      <c r="G17" s="213">
        <f t="shared" si="0"/>
        <v>7.6923076923076927E-2</v>
      </c>
      <c r="H17" s="211">
        <v>4</v>
      </c>
      <c r="I17" s="215">
        <f>H17/10</f>
        <v>0.4</v>
      </c>
    </row>
    <row r="18" spans="1:9" x14ac:dyDescent="0.2">
      <c r="A18" s="194">
        <v>43202</v>
      </c>
      <c r="B18" s="184" t="s">
        <v>338</v>
      </c>
      <c r="C18" s="184" t="s">
        <v>311</v>
      </c>
      <c r="D18" s="184" t="s">
        <v>29</v>
      </c>
      <c r="E18" s="187">
        <v>2</v>
      </c>
      <c r="F18" s="210" t="s">
        <v>423</v>
      </c>
      <c r="G18" s="214" t="s">
        <v>423</v>
      </c>
      <c r="H18" s="210" t="s">
        <v>423</v>
      </c>
      <c r="I18" s="216" t="s">
        <v>423</v>
      </c>
    </row>
    <row r="19" spans="1:9" x14ac:dyDescent="0.2">
      <c r="A19" s="194">
        <v>43200</v>
      </c>
      <c r="B19" s="184" t="s">
        <v>374</v>
      </c>
      <c r="C19" s="184" t="s">
        <v>311</v>
      </c>
      <c r="D19" s="184" t="s">
        <v>29</v>
      </c>
      <c r="E19" s="187">
        <v>125</v>
      </c>
      <c r="F19" s="211">
        <v>4</v>
      </c>
      <c r="G19" s="213">
        <f t="shared" si="0"/>
        <v>3.4782608695652174E-2</v>
      </c>
      <c r="H19" s="211">
        <v>0</v>
      </c>
      <c r="I19" s="215">
        <f>H19/10</f>
        <v>0</v>
      </c>
    </row>
    <row r="20" spans="1:9" x14ac:dyDescent="0.2">
      <c r="A20" s="194">
        <v>43199</v>
      </c>
      <c r="B20" s="184" t="s">
        <v>323</v>
      </c>
      <c r="C20" s="184" t="s">
        <v>311</v>
      </c>
      <c r="D20" s="184" t="s">
        <v>36</v>
      </c>
      <c r="E20" s="187">
        <v>139</v>
      </c>
      <c r="F20" s="211">
        <v>1</v>
      </c>
      <c r="G20" s="213">
        <f t="shared" ref="G20" si="5">F20/(E20-10)</f>
        <v>7.7519379844961239E-3</v>
      </c>
      <c r="H20" s="210" t="s">
        <v>423</v>
      </c>
      <c r="I20" s="216" t="s">
        <v>423</v>
      </c>
    </row>
    <row r="21" spans="1:9" x14ac:dyDescent="0.2">
      <c r="A21" s="194">
        <v>43201</v>
      </c>
      <c r="B21" s="184" t="s">
        <v>335</v>
      </c>
      <c r="C21" s="184" t="s">
        <v>311</v>
      </c>
      <c r="D21" s="184" t="s">
        <v>36</v>
      </c>
      <c r="E21" s="187">
        <v>418</v>
      </c>
      <c r="F21" s="211">
        <v>9</v>
      </c>
      <c r="G21" s="213">
        <f t="shared" si="0"/>
        <v>2.2058823529411766E-2</v>
      </c>
      <c r="H21" s="211">
        <v>0</v>
      </c>
      <c r="I21" s="215">
        <f t="shared" ref="I21:I22" si="6">H21/10</f>
        <v>0</v>
      </c>
    </row>
    <row r="22" spans="1:9" x14ac:dyDescent="0.2">
      <c r="A22" s="194">
        <v>43192</v>
      </c>
      <c r="B22" s="184" t="s">
        <v>239</v>
      </c>
      <c r="C22" s="184" t="s">
        <v>311</v>
      </c>
      <c r="D22" s="184" t="s">
        <v>36</v>
      </c>
      <c r="E22" s="187">
        <v>96</v>
      </c>
      <c r="F22" s="211">
        <v>2</v>
      </c>
      <c r="G22" s="213">
        <f t="shared" si="0"/>
        <v>2.3255813953488372E-2</v>
      </c>
      <c r="H22" s="211">
        <v>5</v>
      </c>
      <c r="I22" s="215">
        <f t="shared" si="6"/>
        <v>0.5</v>
      </c>
    </row>
    <row r="23" spans="1:9" x14ac:dyDescent="0.2">
      <c r="A23" s="194">
        <v>43206</v>
      </c>
      <c r="B23" s="184" t="s">
        <v>365</v>
      </c>
      <c r="C23" s="184" t="s">
        <v>311</v>
      </c>
      <c r="D23" s="184" t="s">
        <v>36</v>
      </c>
      <c r="E23" s="187">
        <v>160</v>
      </c>
      <c r="F23" s="210" t="s">
        <v>423</v>
      </c>
      <c r="G23" s="214" t="s">
        <v>423</v>
      </c>
      <c r="H23" s="210" t="s">
        <v>423</v>
      </c>
      <c r="I23" s="216" t="s">
        <v>423</v>
      </c>
    </row>
    <row r="24" spans="1:9" x14ac:dyDescent="0.2">
      <c r="A24" s="194">
        <v>43197</v>
      </c>
      <c r="B24" s="184" t="s">
        <v>269</v>
      </c>
      <c r="C24" s="184" t="s">
        <v>311</v>
      </c>
      <c r="D24" s="184" t="s">
        <v>36</v>
      </c>
      <c r="E24" s="187">
        <v>316</v>
      </c>
      <c r="F24" s="211">
        <v>4</v>
      </c>
      <c r="G24" s="213">
        <f t="shared" si="0"/>
        <v>1.3071895424836602E-2</v>
      </c>
      <c r="H24" s="211">
        <v>1</v>
      </c>
      <c r="I24" s="215">
        <f t="shared" ref="I24:I29" si="7">H24/10</f>
        <v>0.1</v>
      </c>
    </row>
    <row r="25" spans="1:9" x14ac:dyDescent="0.2">
      <c r="A25" s="194">
        <v>43197</v>
      </c>
      <c r="B25" s="184" t="s">
        <v>272</v>
      </c>
      <c r="C25" s="184" t="s">
        <v>311</v>
      </c>
      <c r="D25" s="184" t="s">
        <v>36</v>
      </c>
      <c r="E25" s="187">
        <v>188</v>
      </c>
      <c r="F25" s="211">
        <v>2</v>
      </c>
      <c r="G25" s="213">
        <f t="shared" si="0"/>
        <v>1.1235955056179775E-2</v>
      </c>
      <c r="H25" s="211">
        <v>5</v>
      </c>
      <c r="I25" s="215">
        <f t="shared" si="7"/>
        <v>0.5</v>
      </c>
    </row>
    <row r="26" spans="1:9" x14ac:dyDescent="0.2">
      <c r="A26" s="194">
        <v>43195</v>
      </c>
      <c r="B26" s="184" t="s">
        <v>260</v>
      </c>
      <c r="C26" s="184" t="s">
        <v>314</v>
      </c>
      <c r="D26" s="184" t="s">
        <v>82</v>
      </c>
      <c r="E26" s="187">
        <v>139</v>
      </c>
      <c r="F26" s="211">
        <v>0</v>
      </c>
      <c r="G26" s="213">
        <f t="shared" si="0"/>
        <v>0</v>
      </c>
      <c r="H26" s="211">
        <v>0</v>
      </c>
      <c r="I26" s="215">
        <f t="shared" si="7"/>
        <v>0</v>
      </c>
    </row>
    <row r="27" spans="1:9" x14ac:dyDescent="0.2">
      <c r="A27" s="194">
        <v>43197</v>
      </c>
      <c r="B27" s="184" t="s">
        <v>284</v>
      </c>
      <c r="C27" s="184" t="s">
        <v>314</v>
      </c>
      <c r="D27" s="184" t="s">
        <v>82</v>
      </c>
      <c r="E27" s="187">
        <v>136</v>
      </c>
      <c r="F27" s="211">
        <v>1</v>
      </c>
      <c r="G27" s="213">
        <f t="shared" si="0"/>
        <v>7.9365079365079361E-3</v>
      </c>
      <c r="H27" s="211">
        <v>4</v>
      </c>
      <c r="I27" s="215">
        <f t="shared" si="7"/>
        <v>0.4</v>
      </c>
    </row>
    <row r="28" spans="1:9" x14ac:dyDescent="0.2">
      <c r="A28" s="194">
        <v>43198</v>
      </c>
      <c r="B28" s="184" t="s">
        <v>302</v>
      </c>
      <c r="C28" s="184" t="s">
        <v>314</v>
      </c>
      <c r="D28" s="184" t="s">
        <v>82</v>
      </c>
      <c r="E28" s="187">
        <v>38</v>
      </c>
      <c r="F28" s="211">
        <v>0</v>
      </c>
      <c r="G28" s="213">
        <f t="shared" si="0"/>
        <v>0</v>
      </c>
      <c r="H28" s="211">
        <v>2</v>
      </c>
      <c r="I28" s="215">
        <f t="shared" si="7"/>
        <v>0.2</v>
      </c>
    </row>
    <row r="29" spans="1:9" x14ac:dyDescent="0.2">
      <c r="A29" s="194">
        <v>43199</v>
      </c>
      <c r="B29" s="184" t="s">
        <v>320</v>
      </c>
      <c r="C29" s="184" t="s">
        <v>314</v>
      </c>
      <c r="D29" s="184" t="s">
        <v>82</v>
      </c>
      <c r="E29" s="187">
        <v>139</v>
      </c>
      <c r="F29" s="211">
        <v>10</v>
      </c>
      <c r="G29" s="213">
        <f t="shared" si="0"/>
        <v>7.7519379844961239E-2</v>
      </c>
      <c r="H29" s="211">
        <v>3</v>
      </c>
      <c r="I29" s="215">
        <f t="shared" si="7"/>
        <v>0.3</v>
      </c>
    </row>
    <row r="30" spans="1:9" x14ac:dyDescent="0.2">
      <c r="A30" s="194">
        <v>43200</v>
      </c>
      <c r="B30" s="184" t="s">
        <v>332</v>
      </c>
      <c r="C30" s="184" t="s">
        <v>314</v>
      </c>
      <c r="D30" s="184" t="s">
        <v>82</v>
      </c>
      <c r="E30" s="187">
        <v>69</v>
      </c>
      <c r="F30" s="211">
        <v>4</v>
      </c>
      <c r="G30" s="213">
        <f t="shared" ref="G30:G35" si="8">F30/(E30-10)</f>
        <v>6.7796610169491525E-2</v>
      </c>
      <c r="H30" s="210" t="s">
        <v>423</v>
      </c>
      <c r="I30" s="216" t="s">
        <v>423</v>
      </c>
    </row>
    <row r="31" spans="1:9" x14ac:dyDescent="0.2">
      <c r="A31" s="194">
        <v>43204</v>
      </c>
      <c r="B31" s="184" t="s">
        <v>356</v>
      </c>
      <c r="C31" s="184" t="s">
        <v>314</v>
      </c>
      <c r="D31" s="184" t="s">
        <v>82</v>
      </c>
      <c r="E31" s="187">
        <v>50</v>
      </c>
      <c r="F31" s="211">
        <v>2</v>
      </c>
      <c r="G31" s="213">
        <f t="shared" si="8"/>
        <v>0.05</v>
      </c>
      <c r="H31" s="210" t="s">
        <v>423</v>
      </c>
      <c r="I31" s="216" t="s">
        <v>423</v>
      </c>
    </row>
    <row r="32" spans="1:9" x14ac:dyDescent="0.2">
      <c r="A32" s="194">
        <v>43199</v>
      </c>
      <c r="B32" s="184" t="s">
        <v>326</v>
      </c>
      <c r="C32" s="184" t="s">
        <v>314</v>
      </c>
      <c r="D32" s="184" t="s">
        <v>83</v>
      </c>
      <c r="E32" s="187">
        <v>26</v>
      </c>
      <c r="F32" s="211">
        <v>4</v>
      </c>
      <c r="G32" s="213">
        <f t="shared" si="8"/>
        <v>0.25</v>
      </c>
      <c r="H32" s="210" t="s">
        <v>423</v>
      </c>
      <c r="I32" s="216" t="s">
        <v>423</v>
      </c>
    </row>
    <row r="33" spans="1:9" x14ac:dyDescent="0.2">
      <c r="A33" s="194">
        <v>43194</v>
      </c>
      <c r="B33" s="184" t="s">
        <v>257</v>
      </c>
      <c r="C33" s="184" t="s">
        <v>314</v>
      </c>
      <c r="D33" s="184" t="s">
        <v>83</v>
      </c>
      <c r="E33" s="187">
        <v>48</v>
      </c>
      <c r="F33" s="211">
        <v>2</v>
      </c>
      <c r="G33" s="213">
        <f t="shared" si="8"/>
        <v>5.2631578947368418E-2</v>
      </c>
      <c r="H33" s="210" t="s">
        <v>423</v>
      </c>
      <c r="I33" s="216" t="s">
        <v>423</v>
      </c>
    </row>
    <row r="34" spans="1:9" x14ac:dyDescent="0.2">
      <c r="A34" s="194">
        <v>43197</v>
      </c>
      <c r="B34" s="184" t="s">
        <v>278</v>
      </c>
      <c r="C34" s="184" t="s">
        <v>314</v>
      </c>
      <c r="D34" s="184" t="s">
        <v>83</v>
      </c>
      <c r="E34" s="187">
        <v>111</v>
      </c>
      <c r="F34" s="211">
        <v>2</v>
      </c>
      <c r="G34" s="213">
        <f t="shared" si="8"/>
        <v>1.9801980198019802E-2</v>
      </c>
      <c r="H34" s="210" t="s">
        <v>423</v>
      </c>
      <c r="I34" s="216" t="s">
        <v>423</v>
      </c>
    </row>
    <row r="35" spans="1:9" x14ac:dyDescent="0.2">
      <c r="A35" s="194">
        <v>43204</v>
      </c>
      <c r="B35" s="184" t="s">
        <v>359</v>
      </c>
      <c r="C35" s="184" t="s">
        <v>314</v>
      </c>
      <c r="D35" s="184" t="s">
        <v>83</v>
      </c>
      <c r="E35" s="187">
        <v>125</v>
      </c>
      <c r="F35" s="211">
        <v>4</v>
      </c>
      <c r="G35" s="213">
        <f t="shared" si="8"/>
        <v>3.4782608695652174E-2</v>
      </c>
      <c r="H35" s="211">
        <v>5</v>
      </c>
      <c r="I35" s="215">
        <f>H35/10</f>
        <v>0.5</v>
      </c>
    </row>
    <row r="36" spans="1:9" x14ac:dyDescent="0.2">
      <c r="A36" s="194">
        <v>43205</v>
      </c>
      <c r="B36" s="184" t="s">
        <v>368</v>
      </c>
      <c r="C36" s="184" t="s">
        <v>314</v>
      </c>
      <c r="D36" s="184" t="s">
        <v>83</v>
      </c>
      <c r="E36" s="187">
        <v>440</v>
      </c>
      <c r="F36" s="210" t="s">
        <v>423</v>
      </c>
      <c r="G36" s="214" t="s">
        <v>423</v>
      </c>
      <c r="H36" s="210" t="s">
        <v>423</v>
      </c>
      <c r="I36" s="216" t="s">
        <v>423</v>
      </c>
    </row>
    <row r="37" spans="1:9" x14ac:dyDescent="0.2">
      <c r="A37" s="194">
        <v>43209</v>
      </c>
      <c r="B37" s="184" t="s">
        <v>371</v>
      </c>
      <c r="C37" s="184" t="s">
        <v>314</v>
      </c>
      <c r="D37" s="184" t="s">
        <v>83</v>
      </c>
      <c r="E37" s="187">
        <v>739</v>
      </c>
      <c r="F37" s="211">
        <v>8</v>
      </c>
      <c r="G37" s="213">
        <f t="shared" ref="G37:G39" si="9">F37/(E37-10)</f>
        <v>1.0973936899862825E-2</v>
      </c>
      <c r="H37" s="210" t="s">
        <v>423</v>
      </c>
      <c r="I37" s="216" t="s">
        <v>423</v>
      </c>
    </row>
    <row r="38" spans="1:9" x14ac:dyDescent="0.2">
      <c r="A38" s="194">
        <v>43199</v>
      </c>
      <c r="B38" s="184" t="s">
        <v>329</v>
      </c>
      <c r="C38" s="184" t="s">
        <v>313</v>
      </c>
      <c r="D38" s="184" t="s">
        <v>60</v>
      </c>
      <c r="E38" s="187">
        <v>101</v>
      </c>
      <c r="F38" s="211">
        <v>2</v>
      </c>
      <c r="G38" s="213">
        <f t="shared" si="9"/>
        <v>2.197802197802198E-2</v>
      </c>
      <c r="H38" s="210" t="s">
        <v>423</v>
      </c>
      <c r="I38" s="216" t="s">
        <v>423</v>
      </c>
    </row>
    <row r="39" spans="1:9" x14ac:dyDescent="0.2">
      <c r="A39" s="194">
        <v>43192</v>
      </c>
      <c r="B39" s="184" t="s">
        <v>236</v>
      </c>
      <c r="C39" s="184" t="s">
        <v>313</v>
      </c>
      <c r="D39" s="184" t="s">
        <v>60</v>
      </c>
      <c r="E39" s="187">
        <v>463</v>
      </c>
      <c r="F39" s="211">
        <v>4</v>
      </c>
      <c r="G39" s="213">
        <f t="shared" si="9"/>
        <v>8.8300220750551876E-3</v>
      </c>
      <c r="H39" s="211">
        <v>5</v>
      </c>
      <c r="I39" s="215">
        <f>H39/10</f>
        <v>0.5</v>
      </c>
    </row>
    <row r="40" spans="1:9" x14ac:dyDescent="0.2">
      <c r="A40" s="194">
        <v>43195</v>
      </c>
      <c r="B40" s="184" t="s">
        <v>263</v>
      </c>
      <c r="C40" s="184" t="s">
        <v>313</v>
      </c>
      <c r="D40" s="184" t="s">
        <v>60</v>
      </c>
      <c r="E40" s="187">
        <v>22</v>
      </c>
      <c r="F40" s="211">
        <v>1</v>
      </c>
      <c r="G40" s="213">
        <f t="shared" ref="G40:G42" si="10">F40/(E40-10)</f>
        <v>8.3333333333333329E-2</v>
      </c>
      <c r="H40" s="210" t="s">
        <v>423</v>
      </c>
      <c r="I40" s="216" t="s">
        <v>423</v>
      </c>
    </row>
    <row r="41" spans="1:9" x14ac:dyDescent="0.2">
      <c r="A41" s="194">
        <v>43197</v>
      </c>
      <c r="B41" s="184" t="s">
        <v>275</v>
      </c>
      <c r="C41" s="184" t="s">
        <v>313</v>
      </c>
      <c r="D41" s="184" t="s">
        <v>60</v>
      </c>
      <c r="E41" s="187">
        <v>741</v>
      </c>
      <c r="F41" s="211">
        <v>16</v>
      </c>
      <c r="G41" s="213">
        <f t="shared" si="10"/>
        <v>2.188782489740082E-2</v>
      </c>
      <c r="H41" s="211">
        <v>3</v>
      </c>
      <c r="I41" s="215">
        <f>H41/10</f>
        <v>0.3</v>
      </c>
    </row>
    <row r="42" spans="1:9" x14ac:dyDescent="0.2">
      <c r="A42" s="194">
        <v>43198</v>
      </c>
      <c r="B42" s="184" t="s">
        <v>290</v>
      </c>
      <c r="C42" s="184" t="s">
        <v>313</v>
      </c>
      <c r="D42" s="184" t="s">
        <v>60</v>
      </c>
      <c r="E42" s="187">
        <v>741</v>
      </c>
      <c r="F42" s="211">
        <v>2</v>
      </c>
      <c r="G42" s="213">
        <f t="shared" si="10"/>
        <v>2.7359781121751026E-3</v>
      </c>
      <c r="H42" s="211">
        <v>1</v>
      </c>
      <c r="I42" s="215">
        <f>H42/10</f>
        <v>0.1</v>
      </c>
    </row>
    <row r="43" spans="1:9" x14ac:dyDescent="0.2">
      <c r="A43" s="194">
        <v>43203</v>
      </c>
      <c r="B43" s="184" t="s">
        <v>350</v>
      </c>
      <c r="C43" s="184" t="s">
        <v>313</v>
      </c>
      <c r="D43" s="184" t="s">
        <v>60</v>
      </c>
      <c r="E43" s="187">
        <v>141</v>
      </c>
      <c r="F43" s="211">
        <v>6</v>
      </c>
      <c r="G43" s="213">
        <f t="shared" ref="G43:G44" si="11">F43/(E43-10)</f>
        <v>4.5801526717557252E-2</v>
      </c>
      <c r="H43" s="210" t="s">
        <v>423</v>
      </c>
      <c r="I43" s="216" t="s">
        <v>423</v>
      </c>
    </row>
    <row r="44" spans="1:9" x14ac:dyDescent="0.2">
      <c r="A44" s="194">
        <v>43192</v>
      </c>
      <c r="B44" s="184" t="s">
        <v>245</v>
      </c>
      <c r="C44" s="184" t="s">
        <v>313</v>
      </c>
      <c r="D44" s="184" t="s">
        <v>58</v>
      </c>
      <c r="E44" s="187">
        <v>295</v>
      </c>
      <c r="F44" s="211">
        <v>2</v>
      </c>
      <c r="G44" s="213">
        <f t="shared" si="11"/>
        <v>7.0175438596491229E-3</v>
      </c>
      <c r="H44" s="211">
        <v>0</v>
      </c>
      <c r="I44" s="215">
        <f>H44/10</f>
        <v>0</v>
      </c>
    </row>
    <row r="45" spans="1:9" x14ac:dyDescent="0.2">
      <c r="A45" s="194">
        <v>43193</v>
      </c>
      <c r="B45" s="184" t="s">
        <v>254</v>
      </c>
      <c r="C45" s="184" t="s">
        <v>313</v>
      </c>
      <c r="D45" s="184" t="s">
        <v>58</v>
      </c>
      <c r="E45" s="187">
        <v>26</v>
      </c>
      <c r="F45" s="211">
        <v>1</v>
      </c>
      <c r="G45" s="213">
        <f t="shared" ref="G45:G46" si="12">F45/(E45-10)</f>
        <v>6.25E-2</v>
      </c>
      <c r="H45" s="210" t="s">
        <v>423</v>
      </c>
      <c r="I45" s="216" t="s">
        <v>423</v>
      </c>
    </row>
    <row r="46" spans="1:9" x14ac:dyDescent="0.2">
      <c r="A46" s="194">
        <v>43203</v>
      </c>
      <c r="B46" s="184" t="s">
        <v>344</v>
      </c>
      <c r="C46" s="184" t="s">
        <v>313</v>
      </c>
      <c r="D46" s="184" t="s">
        <v>58</v>
      </c>
      <c r="E46" s="187">
        <v>28</v>
      </c>
      <c r="F46" s="211">
        <v>1</v>
      </c>
      <c r="G46" s="213">
        <f t="shared" si="12"/>
        <v>5.5555555555555552E-2</v>
      </c>
      <c r="H46" s="211">
        <v>0</v>
      </c>
      <c r="I46" s="215">
        <f>H46/10</f>
        <v>0</v>
      </c>
    </row>
    <row r="47" spans="1:9" x14ac:dyDescent="0.2">
      <c r="A47" s="194">
        <v>43197</v>
      </c>
      <c r="B47" s="184" t="s">
        <v>281</v>
      </c>
      <c r="C47" s="184" t="s">
        <v>313</v>
      </c>
      <c r="D47" s="184" t="s">
        <v>58</v>
      </c>
      <c r="E47" s="187">
        <v>111</v>
      </c>
      <c r="F47" s="211">
        <v>1</v>
      </c>
      <c r="G47" s="213">
        <f t="shared" ref="G47:G49" si="13">F47/(E47-10)</f>
        <v>9.9009900990099011E-3</v>
      </c>
      <c r="H47" s="210" t="s">
        <v>423</v>
      </c>
      <c r="I47" s="216" t="s">
        <v>423</v>
      </c>
    </row>
    <row r="48" spans="1:9" x14ac:dyDescent="0.2">
      <c r="A48" s="194">
        <v>43197</v>
      </c>
      <c r="B48" s="184" t="s">
        <v>287</v>
      </c>
      <c r="C48" s="184" t="s">
        <v>313</v>
      </c>
      <c r="D48" s="184" t="s">
        <v>58</v>
      </c>
      <c r="E48" s="187">
        <v>502</v>
      </c>
      <c r="F48" s="211">
        <v>1</v>
      </c>
      <c r="G48" s="213">
        <f t="shared" si="13"/>
        <v>2.0325203252032522E-3</v>
      </c>
      <c r="H48" s="211">
        <v>4</v>
      </c>
      <c r="I48" s="215">
        <f t="shared" ref="I48:I49" si="14">H48/10</f>
        <v>0.4</v>
      </c>
    </row>
    <row r="49" spans="1:9" x14ac:dyDescent="0.2">
      <c r="A49" s="194">
        <v>43199</v>
      </c>
      <c r="B49" s="184" t="s">
        <v>317</v>
      </c>
      <c r="C49" s="184" t="s">
        <v>313</v>
      </c>
      <c r="D49" s="184" t="s">
        <v>58</v>
      </c>
      <c r="E49" s="187">
        <v>103</v>
      </c>
      <c r="F49" s="211">
        <v>0</v>
      </c>
      <c r="G49" s="213">
        <f t="shared" si="13"/>
        <v>0</v>
      </c>
      <c r="H49" s="211">
        <v>3</v>
      </c>
      <c r="I49" s="215">
        <f t="shared" si="14"/>
        <v>0.3</v>
      </c>
    </row>
    <row r="50" spans="1:9" x14ac:dyDescent="0.2">
      <c r="E50" s="187"/>
    </row>
    <row r="51" spans="1:9" x14ac:dyDescent="0.2">
      <c r="E51" s="1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showRuler="0" topLeftCell="E32" workbookViewId="0">
      <selection activeCell="I61" sqref="I61"/>
    </sheetView>
  </sheetViews>
  <sheetFormatPr baseColWidth="10" defaultRowHeight="16" x14ac:dyDescent="0.2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1" x14ac:dyDescent="0.25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 x14ac:dyDescent="0.2">
      <c r="A2" s="6" t="s">
        <v>0</v>
      </c>
      <c r="B2" s="7" t="s">
        <v>10</v>
      </c>
      <c r="C2" s="8" t="s">
        <v>26</v>
      </c>
      <c r="D2" s="7" t="s">
        <v>9</v>
      </c>
      <c r="E2" s="8" t="s">
        <v>57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56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 x14ac:dyDescent="0.2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36">
        <f>(Q3*P3)/(M3-Q3)</f>
        <v>691.75340272217784</v>
      </c>
      <c r="S3" s="16">
        <f>(M3*R3)/(P3+R3)</f>
        <v>100000.00000000001</v>
      </c>
    </row>
    <row r="4" spans="1:20" x14ac:dyDescent="0.2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 x14ac:dyDescent="0.2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 x14ac:dyDescent="0.2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 x14ac:dyDescent="0.2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76</v>
      </c>
    </row>
    <row r="8" spans="1:20" x14ac:dyDescent="0.2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93</v>
      </c>
    </row>
    <row r="9" spans="1:20" x14ac:dyDescent="0.2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109</v>
      </c>
    </row>
    <row r="10" spans="1:20" x14ac:dyDescent="0.2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 x14ac:dyDescent="0.2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 x14ac:dyDescent="0.2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 x14ac:dyDescent="0.2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131</v>
      </c>
    </row>
    <row r="14" spans="1:20" x14ac:dyDescent="0.2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 x14ac:dyDescent="0.2">
      <c r="A15" s="11">
        <v>43200</v>
      </c>
      <c r="B15" s="12" t="s">
        <v>141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142</v>
      </c>
    </row>
    <row r="16" spans="1:20" x14ac:dyDescent="0.2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 x14ac:dyDescent="0.2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 x14ac:dyDescent="0.2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 x14ac:dyDescent="0.2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 x14ac:dyDescent="0.2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 x14ac:dyDescent="0.2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 x14ac:dyDescent="0.2">
      <c r="A22" s="11">
        <v>43206</v>
      </c>
      <c r="B22" s="12" t="s">
        <v>141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 x14ac:dyDescent="0.2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36">
        <f>(Q23*P23)/(M23-Q23)</f>
        <v>4077.6409335727108</v>
      </c>
      <c r="S23" s="16">
        <f t="shared" si="1"/>
        <v>100000</v>
      </c>
    </row>
    <row r="24" spans="1:20" x14ac:dyDescent="0.2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169</v>
      </c>
    </row>
    <row r="25" spans="1:20" x14ac:dyDescent="0.2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 x14ac:dyDescent="0.2">
      <c r="A26" s="11">
        <v>43209</v>
      </c>
      <c r="B26" s="140" t="s">
        <v>181</v>
      </c>
      <c r="C26" s="42">
        <v>0.1</v>
      </c>
      <c r="D26" s="12" t="s">
        <v>182</v>
      </c>
      <c r="E26" s="42">
        <v>90</v>
      </c>
      <c r="F26" s="12" t="s">
        <v>173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39">
        <f>(Q26*P26)/(M26-Q26)</f>
        <v>2.5006251562890722E-3</v>
      </c>
      <c r="S26" s="16">
        <f>(M26*R26)/(P26+R26)</f>
        <v>50000</v>
      </c>
      <c r="T26" t="s">
        <v>176</v>
      </c>
    </row>
    <row r="27" spans="1:20" x14ac:dyDescent="0.2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 x14ac:dyDescent="0.2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 x14ac:dyDescent="0.2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 x14ac:dyDescent="0.2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 x14ac:dyDescent="0.2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 x14ac:dyDescent="0.2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 x14ac:dyDescent="0.2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 x14ac:dyDescent="0.2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 x14ac:dyDescent="0.2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 x14ac:dyDescent="0.2">
      <c r="A36" s="11">
        <v>43218</v>
      </c>
      <c r="B36" s="12" t="s">
        <v>141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 x14ac:dyDescent="0.2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 x14ac:dyDescent="0.2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 x14ac:dyDescent="0.2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 x14ac:dyDescent="0.2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 x14ac:dyDescent="0.2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 x14ac:dyDescent="0.2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 x14ac:dyDescent="0.2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 x14ac:dyDescent="0.2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 x14ac:dyDescent="0.2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 x14ac:dyDescent="0.2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 x14ac:dyDescent="0.2">
      <c r="A47" s="11">
        <v>43229</v>
      </c>
      <c r="B47" s="12" t="s">
        <v>229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 x14ac:dyDescent="0.2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 x14ac:dyDescent="0.2">
      <c r="A49" s="11">
        <v>43235</v>
      </c>
      <c r="B49" s="140" t="s">
        <v>41</v>
      </c>
      <c r="C49" s="3">
        <v>1</v>
      </c>
      <c r="D49" s="140">
        <v>609</v>
      </c>
      <c r="E49" s="3">
        <v>1</v>
      </c>
      <c r="F49" s="182">
        <v>354</v>
      </c>
      <c r="G49" s="182">
        <v>348</v>
      </c>
      <c r="H49" s="182">
        <v>334</v>
      </c>
      <c r="I49" s="182">
        <v>420</v>
      </c>
      <c r="J49" s="182">
        <v>369</v>
      </c>
      <c r="K49" s="182">
        <v>252</v>
      </c>
      <c r="L49" s="183">
        <f t="shared" si="6"/>
        <v>346.16666666666669</v>
      </c>
      <c r="M49" s="183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 x14ac:dyDescent="0.2">
      <c r="A50" s="60">
        <v>43238</v>
      </c>
      <c r="B50" s="140" t="s">
        <v>41</v>
      </c>
      <c r="C50" s="3">
        <v>1</v>
      </c>
      <c r="D50" s="140">
        <v>609</v>
      </c>
      <c r="E50" s="3">
        <v>1</v>
      </c>
      <c r="F50" s="182">
        <v>367</v>
      </c>
      <c r="G50" s="182">
        <v>435</v>
      </c>
      <c r="H50" s="182">
        <v>501</v>
      </c>
      <c r="I50" s="182">
        <v>423</v>
      </c>
      <c r="J50" s="182">
        <v>444</v>
      </c>
      <c r="K50" s="182">
        <v>445</v>
      </c>
      <c r="L50" s="183">
        <f t="shared" si="6"/>
        <v>435.83333333333331</v>
      </c>
      <c r="M50" s="183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 x14ac:dyDescent="0.2">
      <c r="A51" s="60">
        <v>43240</v>
      </c>
      <c r="B51" s="140" t="s">
        <v>41</v>
      </c>
      <c r="C51" s="3">
        <v>2</v>
      </c>
      <c r="D51" s="140">
        <v>609</v>
      </c>
      <c r="E51" s="3">
        <v>1</v>
      </c>
      <c r="F51" s="182">
        <v>146</v>
      </c>
      <c r="G51" s="182">
        <v>146</v>
      </c>
      <c r="H51" s="182">
        <v>162</v>
      </c>
      <c r="I51" s="182">
        <v>151</v>
      </c>
      <c r="J51" s="182">
        <v>138</v>
      </c>
      <c r="K51" s="182">
        <v>125</v>
      </c>
      <c r="L51" s="183">
        <f t="shared" si="6"/>
        <v>144.66666666666666</v>
      </c>
      <c r="M51" s="183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 x14ac:dyDescent="0.2">
      <c r="A52" s="60">
        <v>43243</v>
      </c>
      <c r="B52" s="140" t="s">
        <v>41</v>
      </c>
      <c r="C52" s="3">
        <v>1.75</v>
      </c>
      <c r="D52" s="140">
        <v>609</v>
      </c>
      <c r="E52" s="3">
        <v>1.75</v>
      </c>
      <c r="F52" s="182">
        <v>191</v>
      </c>
      <c r="G52" s="182">
        <v>169</v>
      </c>
      <c r="H52" s="182">
        <v>136</v>
      </c>
      <c r="I52" s="182">
        <v>188</v>
      </c>
      <c r="J52" s="182">
        <v>178</v>
      </c>
      <c r="K52" s="182">
        <v>202</v>
      </c>
      <c r="L52" s="183">
        <f t="shared" si="6"/>
        <v>177.33333333333334</v>
      </c>
      <c r="M52" s="183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 x14ac:dyDescent="0.2">
      <c r="A53" s="60">
        <v>43246</v>
      </c>
      <c r="B53" s="140" t="s">
        <v>41</v>
      </c>
      <c r="C53" s="3">
        <v>1</v>
      </c>
      <c r="D53" s="140">
        <v>609</v>
      </c>
      <c r="E53" s="3">
        <v>1</v>
      </c>
      <c r="F53" s="182">
        <v>183</v>
      </c>
      <c r="G53" s="182">
        <v>170</v>
      </c>
      <c r="H53" s="182">
        <v>152</v>
      </c>
      <c r="I53" s="182">
        <v>176</v>
      </c>
      <c r="J53" s="182">
        <v>142</v>
      </c>
      <c r="K53" s="182">
        <v>188</v>
      </c>
      <c r="L53" s="183">
        <f t="shared" si="6"/>
        <v>168.5</v>
      </c>
      <c r="M53" s="183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 x14ac:dyDescent="0.2">
      <c r="A54" s="60">
        <v>43248</v>
      </c>
      <c r="B54" s="140" t="s">
        <v>41</v>
      </c>
      <c r="C54" s="3">
        <v>1</v>
      </c>
      <c r="D54" s="140">
        <v>609</v>
      </c>
      <c r="E54" s="3">
        <v>1</v>
      </c>
      <c r="F54" s="182">
        <v>160</v>
      </c>
      <c r="G54" s="182">
        <v>150</v>
      </c>
      <c r="H54" s="182">
        <v>156</v>
      </c>
      <c r="I54" s="182">
        <v>165</v>
      </c>
      <c r="J54" s="182">
        <v>150</v>
      </c>
      <c r="K54" s="182">
        <v>142</v>
      </c>
      <c r="L54" s="183">
        <f t="shared" si="6"/>
        <v>153.83333333333334</v>
      </c>
      <c r="M54" s="183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 x14ac:dyDescent="0.2">
      <c r="A55" s="60">
        <v>43253</v>
      </c>
      <c r="B55" s="140" t="s">
        <v>41</v>
      </c>
      <c r="C55" s="3">
        <v>1</v>
      </c>
      <c r="D55" s="140">
        <v>609</v>
      </c>
      <c r="E55" s="3">
        <v>1</v>
      </c>
      <c r="F55" t="s">
        <v>380</v>
      </c>
      <c r="Q55" s="14">
        <v>100000</v>
      </c>
      <c r="R55" s="1">
        <v>9500</v>
      </c>
    </row>
    <row r="56" spans="1:18" x14ac:dyDescent="0.2">
      <c r="A56" s="60">
        <v>43256</v>
      </c>
      <c r="B56" s="140" t="s">
        <v>41</v>
      </c>
      <c r="C56" s="3">
        <v>1</v>
      </c>
      <c r="D56" s="140">
        <v>609</v>
      </c>
      <c r="E56" s="3">
        <v>1</v>
      </c>
      <c r="F56" s="192">
        <v>166</v>
      </c>
      <c r="G56" s="192">
        <v>184</v>
      </c>
      <c r="H56" s="192">
        <v>177</v>
      </c>
      <c r="I56" s="192">
        <v>164</v>
      </c>
      <c r="J56" s="192">
        <v>148</v>
      </c>
      <c r="K56" s="192">
        <v>179</v>
      </c>
      <c r="L56" s="183">
        <f t="shared" si="6"/>
        <v>169.66666666666666</v>
      </c>
      <c r="M56" s="183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showRuler="0" topLeftCell="G1" workbookViewId="0">
      <selection activeCell="M29" sqref="M29"/>
    </sheetView>
  </sheetViews>
  <sheetFormatPr baseColWidth="10" defaultRowHeight="16" x14ac:dyDescent="0.2"/>
  <cols>
    <col min="5" max="5" width="15.5" customWidth="1"/>
    <col min="6" max="6" width="16.6640625" customWidth="1"/>
    <col min="9" max="9" width="10.83203125" style="206"/>
    <col min="10" max="10" width="10.83203125" customWidth="1"/>
    <col min="13" max="13" width="10.83203125" customWidth="1"/>
    <col min="16" max="16" width="10.83203125" customWidth="1"/>
    <col min="19" max="19" width="10.83203125" customWidth="1"/>
    <col min="22" max="22" width="10.83203125" customWidth="1"/>
    <col min="25" max="25" width="10.83203125" customWidth="1"/>
    <col min="28" max="28" width="10.83203125" customWidth="1"/>
    <col min="31" max="31" width="10.83203125" customWidth="1"/>
  </cols>
  <sheetData>
    <row r="1" spans="1:47" s="61" customFormat="1" ht="31" customHeight="1" x14ac:dyDescent="0.2">
      <c r="A1" s="61" t="s">
        <v>0</v>
      </c>
      <c r="B1" s="61" t="s">
        <v>1</v>
      </c>
      <c r="C1" s="61" t="s">
        <v>80</v>
      </c>
      <c r="D1" s="61" t="s">
        <v>81</v>
      </c>
      <c r="E1" s="61" t="s">
        <v>86</v>
      </c>
      <c r="F1" s="61" t="s">
        <v>407</v>
      </c>
      <c r="I1" s="204" t="s">
        <v>0</v>
      </c>
      <c r="J1" s="204" t="s">
        <v>37</v>
      </c>
      <c r="K1" s="204" t="s">
        <v>408</v>
      </c>
      <c r="L1" s="204" t="s">
        <v>416</v>
      </c>
      <c r="M1" s="204" t="s">
        <v>28</v>
      </c>
      <c r="N1" s="204" t="s">
        <v>409</v>
      </c>
      <c r="O1" s="204" t="s">
        <v>417</v>
      </c>
      <c r="P1" s="204" t="s">
        <v>29</v>
      </c>
      <c r="Q1" s="204" t="s">
        <v>410</v>
      </c>
      <c r="R1" s="204" t="s">
        <v>418</v>
      </c>
      <c r="S1" s="204" t="s">
        <v>36</v>
      </c>
      <c r="T1" s="204" t="s">
        <v>411</v>
      </c>
      <c r="U1" s="204" t="s">
        <v>420</v>
      </c>
      <c r="V1" s="204" t="s">
        <v>82</v>
      </c>
      <c r="W1" s="204" t="s">
        <v>412</v>
      </c>
      <c r="X1" s="204" t="s">
        <v>412</v>
      </c>
      <c r="Y1" s="204" t="s">
        <v>83</v>
      </c>
      <c r="Z1" s="204" t="s">
        <v>413</v>
      </c>
      <c r="AA1" s="204" t="s">
        <v>413</v>
      </c>
      <c r="AB1" s="204" t="s">
        <v>60</v>
      </c>
      <c r="AC1" s="204" t="s">
        <v>414</v>
      </c>
      <c r="AD1" s="204" t="s">
        <v>414</v>
      </c>
      <c r="AE1" s="204" t="s">
        <v>58</v>
      </c>
      <c r="AF1" s="204" t="s">
        <v>415</v>
      </c>
      <c r="AG1" s="204" t="s">
        <v>419</v>
      </c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</row>
    <row r="2" spans="1:47" x14ac:dyDescent="0.2">
      <c r="A2" s="60">
        <v>43082</v>
      </c>
      <c r="B2" t="s">
        <v>58</v>
      </c>
      <c r="C2">
        <v>6</v>
      </c>
      <c r="D2">
        <v>1</v>
      </c>
      <c r="E2">
        <f t="shared" ref="E2:E33" si="0">SUMIFS(D:D,B:B, B2,A:A,"&lt;="&amp;A2)</f>
        <v>1</v>
      </c>
      <c r="I2" s="205">
        <v>43082</v>
      </c>
      <c r="J2">
        <f>SUMIFS($D:$D, $A:$A, $I2, $B:$B,$J$1)</f>
        <v>0</v>
      </c>
      <c r="K2">
        <f t="shared" ref="K2:AF19" si="1">K3+J3</f>
        <v>88</v>
      </c>
      <c r="L2" s="130">
        <f>K2/$K$2</f>
        <v>1</v>
      </c>
      <c r="M2">
        <f>SUMIFS($D:$D, $A:$A, $I2, $B:$B,$M$1)</f>
        <v>0</v>
      </c>
      <c r="N2">
        <f t="shared" si="1"/>
        <v>87</v>
      </c>
      <c r="O2" s="130">
        <f>N2/$N$2</f>
        <v>1</v>
      </c>
      <c r="P2">
        <f>SUMIFS($D:$D, $A:$A, $I2, $B:$B,$P$1)</f>
        <v>0</v>
      </c>
      <c r="Q2">
        <f t="shared" si="1"/>
        <v>83</v>
      </c>
      <c r="R2" s="130">
        <f>Q2/$Q$2</f>
        <v>1</v>
      </c>
      <c r="S2">
        <f t="shared" ref="S2:S25" si="2">SUMIFS($D:$D, $A:$A, $I2, $B:$B,$S$1)</f>
        <v>3</v>
      </c>
      <c r="T2">
        <f t="shared" si="1"/>
        <v>85</v>
      </c>
      <c r="U2" s="130">
        <f>T2/$T$2</f>
        <v>1</v>
      </c>
      <c r="V2">
        <f>SUMIFS($D:$D, $A:$A, $I2, $B:$B,$V$1)</f>
        <v>0</v>
      </c>
      <c r="W2">
        <f t="shared" si="1"/>
        <v>91</v>
      </c>
      <c r="X2" s="130">
        <f>W2/$W$2</f>
        <v>1</v>
      </c>
      <c r="Y2">
        <f>SUMIFS($D:$D, $A:$A, $I2, $B:$B,$Y$1)</f>
        <v>0</v>
      </c>
      <c r="Z2">
        <f t="shared" si="1"/>
        <v>81</v>
      </c>
      <c r="AA2" s="130">
        <f>Z2/$Z$2</f>
        <v>1</v>
      </c>
      <c r="AB2">
        <f>SUMIFS($D:$D, $A:$A, $I2, $B:$B,$AB$1)</f>
        <v>0</v>
      </c>
      <c r="AC2">
        <f t="shared" si="1"/>
        <v>85</v>
      </c>
      <c r="AD2" s="130">
        <f>AC2/$AC$2</f>
        <v>1</v>
      </c>
      <c r="AE2">
        <f>SUMIFS($D:$D, $A:$A, $I2, $B:$B,$AE$1)</f>
        <v>1</v>
      </c>
      <c r="AF2">
        <f t="shared" si="1"/>
        <v>84</v>
      </c>
      <c r="AG2" s="130">
        <f>AF2/$AF$2</f>
        <v>1</v>
      </c>
    </row>
    <row r="3" spans="1:47" x14ac:dyDescent="0.2">
      <c r="A3" s="60">
        <v>43082</v>
      </c>
      <c r="B3" t="s">
        <v>36</v>
      </c>
      <c r="C3">
        <v>9</v>
      </c>
      <c r="D3">
        <v>1</v>
      </c>
      <c r="E3">
        <f t="shared" si="0"/>
        <v>3</v>
      </c>
      <c r="I3" s="205">
        <v>43089</v>
      </c>
      <c r="J3">
        <f t="shared" ref="J3:J25" si="3">SUMIFS($D:$D, $A:$A, $I3, $B:$B,$J$1)</f>
        <v>0</v>
      </c>
      <c r="K3">
        <f t="shared" si="1"/>
        <v>88</v>
      </c>
      <c r="L3" s="130">
        <f t="shared" ref="L3:L25" si="4">K3/$K$2</f>
        <v>1</v>
      </c>
      <c r="M3">
        <f t="shared" ref="M3:M25" si="5">SUMIFS($D:$D, $A:$A, $I3, $B:$B,$M$1)</f>
        <v>0</v>
      </c>
      <c r="N3">
        <f t="shared" si="1"/>
        <v>87</v>
      </c>
      <c r="O3" s="130">
        <f t="shared" ref="O3:O25" si="6">N3/$N$2</f>
        <v>1</v>
      </c>
      <c r="P3">
        <f t="shared" ref="P3:P25" si="7">SUMIFS($D:$D, $A:$A, $I3, $B:$B,$P$1)</f>
        <v>0</v>
      </c>
      <c r="Q3">
        <f t="shared" si="1"/>
        <v>83</v>
      </c>
      <c r="R3" s="130">
        <f t="shared" ref="R3:R25" si="8">Q3/$Q$2</f>
        <v>1</v>
      </c>
      <c r="S3">
        <f t="shared" si="2"/>
        <v>1</v>
      </c>
      <c r="T3">
        <f t="shared" si="1"/>
        <v>84</v>
      </c>
      <c r="U3" s="130">
        <f t="shared" ref="U3:U25" si="9">T3/$T$2</f>
        <v>0.9882352941176471</v>
      </c>
      <c r="V3">
        <f t="shared" ref="V3:V25" si="10">SUMIFS($D:$D, $A:$A, $I3, $B:$B,$V$1)</f>
        <v>1</v>
      </c>
      <c r="W3">
        <f t="shared" si="1"/>
        <v>90</v>
      </c>
      <c r="X3" s="130">
        <f t="shared" ref="X3:X25" si="11">W3/$W$2</f>
        <v>0.98901098901098905</v>
      </c>
      <c r="Y3">
        <f t="shared" ref="Y3:Y25" si="12">SUMIFS($D:$D, $A:$A, $I3, $B:$B,$Y$1)</f>
        <v>0</v>
      </c>
      <c r="Z3">
        <f t="shared" si="1"/>
        <v>81</v>
      </c>
      <c r="AA3" s="130">
        <f t="shared" ref="AA3:AA25" si="13">Z3/$Z$2</f>
        <v>1</v>
      </c>
      <c r="AB3">
        <f t="shared" ref="AB3:AB25" si="14">SUMIFS($D:$D, $A:$A, $I3, $B:$B,$AB$1)</f>
        <v>0</v>
      </c>
      <c r="AC3">
        <f t="shared" si="1"/>
        <v>85</v>
      </c>
      <c r="AD3" s="130">
        <f t="shared" ref="AD3:AD25" si="15">AC3/$AC$2</f>
        <v>1</v>
      </c>
      <c r="AE3">
        <f t="shared" ref="AE3:AE25" si="16">SUMIFS($D:$D, $A:$A, $I3, $B:$B,$AE$1)</f>
        <v>1</v>
      </c>
      <c r="AF3">
        <f t="shared" si="1"/>
        <v>83</v>
      </c>
      <c r="AG3" s="130">
        <f t="shared" ref="AG3:AG25" si="17">AF3/$AF$2</f>
        <v>0.98809523809523814</v>
      </c>
    </row>
    <row r="4" spans="1:47" x14ac:dyDescent="0.2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  <c r="I4" s="205">
        <v>43095</v>
      </c>
      <c r="J4">
        <f t="shared" si="3"/>
        <v>0</v>
      </c>
      <c r="K4">
        <f t="shared" si="1"/>
        <v>88</v>
      </c>
      <c r="L4" s="130">
        <f t="shared" si="4"/>
        <v>1</v>
      </c>
      <c r="M4">
        <f t="shared" si="5"/>
        <v>0</v>
      </c>
      <c r="N4">
        <f t="shared" si="1"/>
        <v>87</v>
      </c>
      <c r="O4" s="130">
        <f t="shared" si="6"/>
        <v>1</v>
      </c>
      <c r="P4">
        <f t="shared" si="7"/>
        <v>1</v>
      </c>
      <c r="Q4">
        <f t="shared" si="1"/>
        <v>82</v>
      </c>
      <c r="R4" s="130">
        <f t="shared" si="8"/>
        <v>0.98795180722891562</v>
      </c>
      <c r="S4">
        <f t="shared" si="2"/>
        <v>0</v>
      </c>
      <c r="T4">
        <f t="shared" si="1"/>
        <v>84</v>
      </c>
      <c r="U4" s="130">
        <f t="shared" si="9"/>
        <v>0.9882352941176471</v>
      </c>
      <c r="V4">
        <f t="shared" si="10"/>
        <v>1</v>
      </c>
      <c r="W4">
        <f t="shared" si="1"/>
        <v>89</v>
      </c>
      <c r="X4" s="130">
        <f t="shared" si="11"/>
        <v>0.97802197802197799</v>
      </c>
      <c r="Y4">
        <f t="shared" si="12"/>
        <v>0</v>
      </c>
      <c r="Z4">
        <f t="shared" si="1"/>
        <v>81</v>
      </c>
      <c r="AA4" s="130">
        <f t="shared" si="13"/>
        <v>1</v>
      </c>
      <c r="AB4">
        <f t="shared" si="14"/>
        <v>1</v>
      </c>
      <c r="AC4">
        <f t="shared" si="1"/>
        <v>84</v>
      </c>
      <c r="AD4" s="130">
        <f t="shared" si="15"/>
        <v>0.9882352941176471</v>
      </c>
      <c r="AE4">
        <f t="shared" si="16"/>
        <v>0</v>
      </c>
      <c r="AF4">
        <f t="shared" si="1"/>
        <v>83</v>
      </c>
      <c r="AG4" s="130">
        <f t="shared" si="17"/>
        <v>0.98809523809523814</v>
      </c>
    </row>
    <row r="5" spans="1:47" x14ac:dyDescent="0.2">
      <c r="A5" s="60">
        <v>43089</v>
      </c>
      <c r="B5" t="s">
        <v>58</v>
      </c>
      <c r="C5">
        <v>2</v>
      </c>
      <c r="D5">
        <v>1</v>
      </c>
      <c r="E5">
        <f t="shared" si="0"/>
        <v>2</v>
      </c>
      <c r="I5" s="205">
        <v>43102</v>
      </c>
      <c r="J5">
        <f t="shared" si="3"/>
        <v>1</v>
      </c>
      <c r="K5">
        <f t="shared" si="1"/>
        <v>87</v>
      </c>
      <c r="L5" s="130">
        <f t="shared" si="4"/>
        <v>0.98863636363636365</v>
      </c>
      <c r="M5">
        <f t="shared" si="5"/>
        <v>0</v>
      </c>
      <c r="N5">
        <f t="shared" si="1"/>
        <v>87</v>
      </c>
      <c r="O5" s="130">
        <f t="shared" si="6"/>
        <v>1</v>
      </c>
      <c r="P5">
        <f t="shared" si="7"/>
        <v>1</v>
      </c>
      <c r="Q5">
        <f t="shared" si="1"/>
        <v>81</v>
      </c>
      <c r="R5" s="130">
        <f t="shared" si="8"/>
        <v>0.97590361445783136</v>
      </c>
      <c r="S5">
        <f t="shared" si="2"/>
        <v>0</v>
      </c>
      <c r="T5">
        <f t="shared" si="1"/>
        <v>84</v>
      </c>
      <c r="U5" s="130">
        <f t="shared" si="9"/>
        <v>0.9882352941176471</v>
      </c>
      <c r="V5">
        <f t="shared" si="10"/>
        <v>1</v>
      </c>
      <c r="W5">
        <f t="shared" si="1"/>
        <v>88</v>
      </c>
      <c r="X5" s="130">
        <f t="shared" si="11"/>
        <v>0.96703296703296704</v>
      </c>
      <c r="Y5">
        <f t="shared" si="12"/>
        <v>0</v>
      </c>
      <c r="Z5">
        <f t="shared" si="1"/>
        <v>81</v>
      </c>
      <c r="AA5" s="130">
        <f t="shared" si="13"/>
        <v>1</v>
      </c>
      <c r="AB5">
        <f t="shared" si="14"/>
        <v>0</v>
      </c>
      <c r="AC5">
        <f t="shared" si="1"/>
        <v>84</v>
      </c>
      <c r="AD5" s="130">
        <f t="shared" si="15"/>
        <v>0.9882352941176471</v>
      </c>
      <c r="AE5">
        <f t="shared" si="16"/>
        <v>0</v>
      </c>
      <c r="AF5">
        <f t="shared" si="1"/>
        <v>83</v>
      </c>
      <c r="AG5" s="130">
        <f t="shared" si="17"/>
        <v>0.98809523809523814</v>
      </c>
    </row>
    <row r="6" spans="1:47" x14ac:dyDescent="0.2">
      <c r="A6" s="60">
        <v>43089</v>
      </c>
      <c r="B6" t="s">
        <v>82</v>
      </c>
      <c r="C6">
        <v>30</v>
      </c>
      <c r="D6">
        <v>1</v>
      </c>
      <c r="E6">
        <f t="shared" si="0"/>
        <v>1</v>
      </c>
      <c r="I6" s="205">
        <v>43103</v>
      </c>
      <c r="J6">
        <f t="shared" si="3"/>
        <v>0</v>
      </c>
      <c r="K6">
        <f t="shared" si="1"/>
        <v>87</v>
      </c>
      <c r="L6" s="130">
        <f t="shared" si="4"/>
        <v>0.98863636363636365</v>
      </c>
      <c r="M6">
        <f t="shared" si="5"/>
        <v>0</v>
      </c>
      <c r="N6">
        <f t="shared" si="1"/>
        <v>87</v>
      </c>
      <c r="O6" s="130">
        <f t="shared" si="6"/>
        <v>1</v>
      </c>
      <c r="P6">
        <f t="shared" si="7"/>
        <v>0</v>
      </c>
      <c r="Q6">
        <f t="shared" si="1"/>
        <v>81</v>
      </c>
      <c r="R6" s="130">
        <f t="shared" si="8"/>
        <v>0.97590361445783136</v>
      </c>
      <c r="S6">
        <f t="shared" si="2"/>
        <v>3</v>
      </c>
      <c r="T6">
        <f t="shared" si="1"/>
        <v>81</v>
      </c>
      <c r="U6" s="130">
        <f t="shared" si="9"/>
        <v>0.95294117647058818</v>
      </c>
      <c r="V6">
        <f t="shared" si="10"/>
        <v>0</v>
      </c>
      <c r="W6">
        <f t="shared" si="1"/>
        <v>88</v>
      </c>
      <c r="X6" s="130">
        <f t="shared" si="11"/>
        <v>0.96703296703296704</v>
      </c>
      <c r="Y6">
        <f t="shared" si="12"/>
        <v>0</v>
      </c>
      <c r="Z6">
        <f t="shared" si="1"/>
        <v>81</v>
      </c>
      <c r="AA6" s="130">
        <f t="shared" si="13"/>
        <v>1</v>
      </c>
      <c r="AB6">
        <f t="shared" si="14"/>
        <v>0</v>
      </c>
      <c r="AC6">
        <f t="shared" si="1"/>
        <v>84</v>
      </c>
      <c r="AD6" s="130">
        <f t="shared" si="15"/>
        <v>0.9882352941176471</v>
      </c>
      <c r="AE6">
        <f t="shared" si="16"/>
        <v>0</v>
      </c>
      <c r="AF6">
        <f t="shared" si="1"/>
        <v>83</v>
      </c>
      <c r="AG6" s="130">
        <f t="shared" si="17"/>
        <v>0.98809523809523814</v>
      </c>
    </row>
    <row r="7" spans="1:47" x14ac:dyDescent="0.2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  <c r="I7" s="205">
        <v>43116</v>
      </c>
      <c r="J7">
        <f t="shared" si="3"/>
        <v>2</v>
      </c>
      <c r="K7">
        <f t="shared" si="1"/>
        <v>85</v>
      </c>
      <c r="L7" s="130">
        <f t="shared" si="4"/>
        <v>0.96590909090909094</v>
      </c>
      <c r="M7">
        <f t="shared" si="5"/>
        <v>0</v>
      </c>
      <c r="N7">
        <f t="shared" si="1"/>
        <v>87</v>
      </c>
      <c r="O7" s="130">
        <f t="shared" si="6"/>
        <v>1</v>
      </c>
      <c r="P7">
        <f t="shared" si="7"/>
        <v>1</v>
      </c>
      <c r="Q7">
        <f t="shared" si="1"/>
        <v>80</v>
      </c>
      <c r="R7" s="130">
        <f t="shared" si="8"/>
        <v>0.96385542168674698</v>
      </c>
      <c r="S7">
        <f t="shared" si="2"/>
        <v>0</v>
      </c>
      <c r="T7">
        <f t="shared" si="1"/>
        <v>81</v>
      </c>
      <c r="U7" s="130">
        <f t="shared" si="9"/>
        <v>0.95294117647058818</v>
      </c>
      <c r="V7">
        <f t="shared" si="10"/>
        <v>2</v>
      </c>
      <c r="W7">
        <f t="shared" si="1"/>
        <v>86</v>
      </c>
      <c r="X7" s="130">
        <f t="shared" si="11"/>
        <v>0.94505494505494503</v>
      </c>
      <c r="Y7">
        <f t="shared" si="12"/>
        <v>0</v>
      </c>
      <c r="Z7">
        <f t="shared" si="1"/>
        <v>81</v>
      </c>
      <c r="AA7" s="130">
        <f t="shared" si="13"/>
        <v>1</v>
      </c>
      <c r="AB7">
        <f t="shared" si="14"/>
        <v>3</v>
      </c>
      <c r="AC7">
        <f t="shared" si="1"/>
        <v>81</v>
      </c>
      <c r="AD7" s="130">
        <f t="shared" si="15"/>
        <v>0.95294117647058818</v>
      </c>
      <c r="AE7">
        <f t="shared" si="16"/>
        <v>0</v>
      </c>
      <c r="AF7">
        <f t="shared" si="1"/>
        <v>83</v>
      </c>
      <c r="AG7" s="130">
        <f t="shared" si="17"/>
        <v>0.98809523809523814</v>
      </c>
    </row>
    <row r="8" spans="1:47" x14ac:dyDescent="0.2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  <c r="I8" s="205">
        <v>43123</v>
      </c>
      <c r="J8">
        <f t="shared" si="3"/>
        <v>0</v>
      </c>
      <c r="K8">
        <f t="shared" si="1"/>
        <v>85</v>
      </c>
      <c r="L8" s="130">
        <f t="shared" si="4"/>
        <v>0.96590909090909094</v>
      </c>
      <c r="M8">
        <f t="shared" si="5"/>
        <v>1</v>
      </c>
      <c r="N8">
        <f t="shared" si="1"/>
        <v>86</v>
      </c>
      <c r="O8" s="130">
        <f t="shared" si="6"/>
        <v>0.9885057471264368</v>
      </c>
      <c r="P8">
        <f t="shared" si="7"/>
        <v>1</v>
      </c>
      <c r="Q8">
        <f t="shared" si="1"/>
        <v>79</v>
      </c>
      <c r="R8" s="130">
        <f t="shared" si="8"/>
        <v>0.95180722891566261</v>
      </c>
      <c r="S8">
        <f t="shared" si="2"/>
        <v>1</v>
      </c>
      <c r="T8">
        <f t="shared" si="1"/>
        <v>80</v>
      </c>
      <c r="U8" s="130">
        <f t="shared" si="9"/>
        <v>0.94117647058823528</v>
      </c>
      <c r="V8">
        <f t="shared" si="10"/>
        <v>3</v>
      </c>
      <c r="W8">
        <f t="shared" si="1"/>
        <v>83</v>
      </c>
      <c r="X8" s="130">
        <f t="shared" si="11"/>
        <v>0.91208791208791207</v>
      </c>
      <c r="Y8">
        <f t="shared" si="12"/>
        <v>0</v>
      </c>
      <c r="Z8">
        <f t="shared" si="1"/>
        <v>81</v>
      </c>
      <c r="AA8" s="130">
        <f t="shared" si="13"/>
        <v>1</v>
      </c>
      <c r="AB8">
        <f t="shared" si="14"/>
        <v>0</v>
      </c>
      <c r="AC8">
        <f t="shared" si="1"/>
        <v>81</v>
      </c>
      <c r="AD8" s="130">
        <f t="shared" si="15"/>
        <v>0.95294117647058818</v>
      </c>
      <c r="AE8">
        <f t="shared" si="16"/>
        <v>1</v>
      </c>
      <c r="AF8">
        <f t="shared" si="1"/>
        <v>82</v>
      </c>
      <c r="AG8" s="130">
        <f t="shared" si="17"/>
        <v>0.97619047619047616</v>
      </c>
    </row>
    <row r="9" spans="1:47" x14ac:dyDescent="0.2">
      <c r="A9" s="60">
        <v>43095</v>
      </c>
      <c r="B9" t="s">
        <v>82</v>
      </c>
      <c r="C9">
        <v>30</v>
      </c>
      <c r="D9">
        <v>1</v>
      </c>
      <c r="E9">
        <f t="shared" si="0"/>
        <v>2</v>
      </c>
      <c r="I9" s="205">
        <v>43136</v>
      </c>
      <c r="J9">
        <f t="shared" si="3"/>
        <v>0</v>
      </c>
      <c r="K9">
        <f t="shared" si="1"/>
        <v>85</v>
      </c>
      <c r="L9" s="130">
        <f t="shared" si="4"/>
        <v>0.96590909090909094</v>
      </c>
      <c r="M9">
        <f t="shared" si="5"/>
        <v>1</v>
      </c>
      <c r="N9">
        <f t="shared" si="1"/>
        <v>85</v>
      </c>
      <c r="O9" s="130">
        <f t="shared" si="6"/>
        <v>0.97701149425287359</v>
      </c>
      <c r="P9">
        <f t="shared" si="7"/>
        <v>1</v>
      </c>
      <c r="Q9">
        <f t="shared" si="1"/>
        <v>78</v>
      </c>
      <c r="R9" s="130">
        <f t="shared" si="8"/>
        <v>0.93975903614457834</v>
      </c>
      <c r="S9">
        <f t="shared" si="2"/>
        <v>0</v>
      </c>
      <c r="T9">
        <f t="shared" si="1"/>
        <v>80</v>
      </c>
      <c r="U9" s="130">
        <f t="shared" si="9"/>
        <v>0.94117647058823528</v>
      </c>
      <c r="V9">
        <f t="shared" si="10"/>
        <v>1</v>
      </c>
      <c r="W9">
        <f t="shared" si="1"/>
        <v>82</v>
      </c>
      <c r="X9" s="130">
        <f t="shared" si="11"/>
        <v>0.90109890109890112</v>
      </c>
      <c r="Y9">
        <f t="shared" si="12"/>
        <v>0</v>
      </c>
      <c r="Z9">
        <f t="shared" si="1"/>
        <v>81</v>
      </c>
      <c r="AA9" s="130">
        <f t="shared" si="13"/>
        <v>1</v>
      </c>
      <c r="AB9">
        <f t="shared" si="14"/>
        <v>2</v>
      </c>
      <c r="AC9">
        <f t="shared" si="1"/>
        <v>79</v>
      </c>
      <c r="AD9" s="130">
        <f t="shared" si="15"/>
        <v>0.92941176470588238</v>
      </c>
      <c r="AE9">
        <f t="shared" si="16"/>
        <v>2</v>
      </c>
      <c r="AF9">
        <f t="shared" si="1"/>
        <v>80</v>
      </c>
      <c r="AG9" s="130">
        <f t="shared" si="17"/>
        <v>0.95238095238095233</v>
      </c>
    </row>
    <row r="10" spans="1:47" x14ac:dyDescent="0.2">
      <c r="A10" s="60">
        <v>43095</v>
      </c>
      <c r="B10" t="s">
        <v>60</v>
      </c>
      <c r="C10">
        <v>12</v>
      </c>
      <c r="D10">
        <v>1</v>
      </c>
      <c r="E10">
        <f t="shared" si="0"/>
        <v>1</v>
      </c>
      <c r="I10" s="205">
        <v>43140</v>
      </c>
      <c r="J10">
        <f t="shared" si="3"/>
        <v>0</v>
      </c>
      <c r="K10">
        <f t="shared" si="1"/>
        <v>85</v>
      </c>
      <c r="L10" s="130">
        <f t="shared" si="4"/>
        <v>0.96590909090909094</v>
      </c>
      <c r="M10">
        <f t="shared" si="5"/>
        <v>0</v>
      </c>
      <c r="N10">
        <f t="shared" si="1"/>
        <v>85</v>
      </c>
      <c r="O10" s="130">
        <f t="shared" si="6"/>
        <v>0.97701149425287359</v>
      </c>
      <c r="P10">
        <f t="shared" si="7"/>
        <v>1</v>
      </c>
      <c r="Q10">
        <f t="shared" si="1"/>
        <v>77</v>
      </c>
      <c r="R10" s="130">
        <f t="shared" si="8"/>
        <v>0.92771084337349397</v>
      </c>
      <c r="S10">
        <f t="shared" si="2"/>
        <v>0</v>
      </c>
      <c r="T10">
        <f t="shared" si="1"/>
        <v>80</v>
      </c>
      <c r="U10" s="130">
        <f t="shared" si="9"/>
        <v>0.94117647058823528</v>
      </c>
      <c r="V10">
        <f t="shared" si="10"/>
        <v>0</v>
      </c>
      <c r="W10">
        <f t="shared" si="1"/>
        <v>82</v>
      </c>
      <c r="X10" s="130">
        <f t="shared" si="11"/>
        <v>0.90109890109890112</v>
      </c>
      <c r="Y10">
        <f t="shared" si="12"/>
        <v>0</v>
      </c>
      <c r="Z10">
        <f t="shared" si="1"/>
        <v>81</v>
      </c>
      <c r="AA10" s="130">
        <f t="shared" si="13"/>
        <v>1</v>
      </c>
      <c r="AB10">
        <f t="shared" si="14"/>
        <v>0</v>
      </c>
      <c r="AC10">
        <f t="shared" si="1"/>
        <v>79</v>
      </c>
      <c r="AD10" s="130">
        <f t="shared" si="15"/>
        <v>0.92941176470588238</v>
      </c>
      <c r="AE10">
        <f t="shared" si="16"/>
        <v>0</v>
      </c>
      <c r="AF10">
        <f t="shared" si="1"/>
        <v>80</v>
      </c>
      <c r="AG10" s="130">
        <f t="shared" si="17"/>
        <v>0.95238095238095233</v>
      </c>
    </row>
    <row r="11" spans="1:47" x14ac:dyDescent="0.2">
      <c r="A11" s="60">
        <v>43096</v>
      </c>
      <c r="B11" t="s">
        <v>58</v>
      </c>
      <c r="C11" t="s">
        <v>84</v>
      </c>
      <c r="D11">
        <v>1</v>
      </c>
      <c r="E11">
        <f t="shared" si="0"/>
        <v>3</v>
      </c>
      <c r="I11" s="205">
        <v>43145</v>
      </c>
      <c r="J11">
        <f t="shared" si="3"/>
        <v>1</v>
      </c>
      <c r="K11">
        <f t="shared" si="1"/>
        <v>84</v>
      </c>
      <c r="L11" s="130">
        <f t="shared" si="4"/>
        <v>0.95454545454545459</v>
      </c>
      <c r="M11">
        <f t="shared" si="5"/>
        <v>0</v>
      </c>
      <c r="N11">
        <f t="shared" si="1"/>
        <v>85</v>
      </c>
      <c r="O11" s="130">
        <f t="shared" si="6"/>
        <v>0.97701149425287359</v>
      </c>
      <c r="P11">
        <f t="shared" si="7"/>
        <v>0</v>
      </c>
      <c r="Q11">
        <f t="shared" si="1"/>
        <v>77</v>
      </c>
      <c r="R11" s="130">
        <f t="shared" si="8"/>
        <v>0.92771084337349397</v>
      </c>
      <c r="S11">
        <f t="shared" si="2"/>
        <v>0</v>
      </c>
      <c r="T11">
        <f t="shared" si="1"/>
        <v>80</v>
      </c>
      <c r="U11" s="130">
        <f t="shared" si="9"/>
        <v>0.94117647058823528</v>
      </c>
      <c r="V11">
        <f t="shared" si="10"/>
        <v>1</v>
      </c>
      <c r="W11">
        <f t="shared" si="1"/>
        <v>81</v>
      </c>
      <c r="X11" s="130">
        <f t="shared" si="11"/>
        <v>0.89010989010989006</v>
      </c>
      <c r="Y11">
        <f t="shared" si="12"/>
        <v>1</v>
      </c>
      <c r="Z11">
        <f t="shared" si="1"/>
        <v>80</v>
      </c>
      <c r="AA11" s="130">
        <f t="shared" si="13"/>
        <v>0.98765432098765427</v>
      </c>
      <c r="AB11">
        <f t="shared" si="14"/>
        <v>1</v>
      </c>
      <c r="AC11">
        <f t="shared" si="1"/>
        <v>78</v>
      </c>
      <c r="AD11" s="130">
        <f t="shared" si="15"/>
        <v>0.91764705882352937</v>
      </c>
      <c r="AE11">
        <f t="shared" si="16"/>
        <v>1</v>
      </c>
      <c r="AF11">
        <f t="shared" si="1"/>
        <v>79</v>
      </c>
      <c r="AG11" s="130">
        <f t="shared" si="17"/>
        <v>0.94047619047619047</v>
      </c>
    </row>
    <row r="12" spans="1:47" x14ac:dyDescent="0.2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  <c r="I12" s="205">
        <v>43152</v>
      </c>
      <c r="J12">
        <f t="shared" si="3"/>
        <v>1</v>
      </c>
      <c r="K12">
        <f t="shared" si="1"/>
        <v>83</v>
      </c>
      <c r="L12" s="130">
        <f t="shared" si="4"/>
        <v>0.94318181818181823</v>
      </c>
      <c r="M12">
        <f t="shared" si="5"/>
        <v>0</v>
      </c>
      <c r="N12">
        <f t="shared" si="1"/>
        <v>85</v>
      </c>
      <c r="O12" s="130">
        <f t="shared" si="6"/>
        <v>0.97701149425287359</v>
      </c>
      <c r="P12">
        <f t="shared" si="7"/>
        <v>1</v>
      </c>
      <c r="Q12">
        <f t="shared" si="1"/>
        <v>76</v>
      </c>
      <c r="R12" s="130">
        <f t="shared" si="8"/>
        <v>0.91566265060240959</v>
      </c>
      <c r="S12">
        <f t="shared" si="2"/>
        <v>0</v>
      </c>
      <c r="T12">
        <f t="shared" si="1"/>
        <v>80</v>
      </c>
      <c r="U12" s="130">
        <f t="shared" si="9"/>
        <v>0.94117647058823528</v>
      </c>
      <c r="V12">
        <f t="shared" si="10"/>
        <v>1</v>
      </c>
      <c r="W12">
        <f t="shared" si="1"/>
        <v>80</v>
      </c>
      <c r="X12" s="130">
        <f t="shared" si="11"/>
        <v>0.87912087912087911</v>
      </c>
      <c r="Y12">
        <f t="shared" si="12"/>
        <v>0</v>
      </c>
      <c r="Z12">
        <f t="shared" si="1"/>
        <v>80</v>
      </c>
      <c r="AA12" s="130">
        <f t="shared" si="13"/>
        <v>0.98765432098765427</v>
      </c>
      <c r="AB12">
        <f t="shared" si="14"/>
        <v>0</v>
      </c>
      <c r="AC12">
        <f t="shared" si="1"/>
        <v>78</v>
      </c>
      <c r="AD12" s="130">
        <f t="shared" si="15"/>
        <v>0.91764705882352937</v>
      </c>
      <c r="AE12">
        <f t="shared" si="16"/>
        <v>0</v>
      </c>
      <c r="AF12">
        <f t="shared" si="1"/>
        <v>79</v>
      </c>
      <c r="AG12" s="130">
        <f t="shared" si="17"/>
        <v>0.94047619047619047</v>
      </c>
    </row>
    <row r="13" spans="1:47" x14ac:dyDescent="0.2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  <c r="I13" s="205">
        <v>43158</v>
      </c>
      <c r="J13">
        <f t="shared" si="3"/>
        <v>0</v>
      </c>
      <c r="K13">
        <f t="shared" si="1"/>
        <v>83</v>
      </c>
      <c r="L13" s="130">
        <f t="shared" si="4"/>
        <v>0.94318181818181823</v>
      </c>
      <c r="M13">
        <f t="shared" si="5"/>
        <v>0</v>
      </c>
      <c r="N13">
        <f t="shared" si="1"/>
        <v>85</v>
      </c>
      <c r="O13" s="130">
        <f t="shared" si="6"/>
        <v>0.97701149425287359</v>
      </c>
      <c r="P13">
        <f t="shared" si="7"/>
        <v>0</v>
      </c>
      <c r="Q13">
        <f t="shared" si="1"/>
        <v>76</v>
      </c>
      <c r="R13" s="130">
        <f t="shared" si="8"/>
        <v>0.91566265060240959</v>
      </c>
      <c r="S13">
        <f t="shared" si="2"/>
        <v>1</v>
      </c>
      <c r="T13">
        <f t="shared" si="1"/>
        <v>79</v>
      </c>
      <c r="U13" s="130">
        <f t="shared" si="9"/>
        <v>0.92941176470588238</v>
      </c>
      <c r="V13">
        <f t="shared" si="10"/>
        <v>0</v>
      </c>
      <c r="W13">
        <f t="shared" si="1"/>
        <v>80</v>
      </c>
      <c r="X13" s="130">
        <f t="shared" si="11"/>
        <v>0.87912087912087911</v>
      </c>
      <c r="Y13">
        <f t="shared" si="12"/>
        <v>1</v>
      </c>
      <c r="Z13">
        <f t="shared" si="1"/>
        <v>79</v>
      </c>
      <c r="AA13" s="130">
        <f t="shared" si="13"/>
        <v>0.97530864197530864</v>
      </c>
      <c r="AB13">
        <f t="shared" si="14"/>
        <v>1</v>
      </c>
      <c r="AC13">
        <f t="shared" si="1"/>
        <v>77</v>
      </c>
      <c r="AD13" s="130">
        <f t="shared" si="15"/>
        <v>0.90588235294117647</v>
      </c>
      <c r="AE13">
        <f t="shared" si="16"/>
        <v>2</v>
      </c>
      <c r="AF13">
        <f t="shared" si="1"/>
        <v>77</v>
      </c>
      <c r="AG13" s="130">
        <f t="shared" si="17"/>
        <v>0.91666666666666663</v>
      </c>
    </row>
    <row r="14" spans="1:47" x14ac:dyDescent="0.2">
      <c r="A14" s="60">
        <v>43102</v>
      </c>
      <c r="B14" t="s">
        <v>82</v>
      </c>
      <c r="C14">
        <v>31</v>
      </c>
      <c r="D14">
        <v>1</v>
      </c>
      <c r="E14">
        <f t="shared" si="0"/>
        <v>3</v>
      </c>
      <c r="I14" s="205">
        <v>43168</v>
      </c>
      <c r="J14">
        <f t="shared" si="3"/>
        <v>0</v>
      </c>
      <c r="K14">
        <f t="shared" si="1"/>
        <v>83</v>
      </c>
      <c r="L14" s="130">
        <f t="shared" si="4"/>
        <v>0.94318181818181823</v>
      </c>
      <c r="M14">
        <f t="shared" si="5"/>
        <v>0</v>
      </c>
      <c r="N14">
        <f t="shared" si="1"/>
        <v>85</v>
      </c>
      <c r="O14" s="130">
        <f t="shared" si="6"/>
        <v>0.97701149425287359</v>
      </c>
      <c r="P14">
        <f t="shared" si="7"/>
        <v>0</v>
      </c>
      <c r="Q14">
        <f t="shared" si="1"/>
        <v>76</v>
      </c>
      <c r="R14" s="130">
        <f t="shared" si="8"/>
        <v>0.91566265060240959</v>
      </c>
      <c r="S14">
        <f t="shared" si="2"/>
        <v>0</v>
      </c>
      <c r="T14">
        <f t="shared" si="1"/>
        <v>79</v>
      </c>
      <c r="U14" s="130">
        <f t="shared" si="9"/>
        <v>0.92941176470588238</v>
      </c>
      <c r="V14">
        <f t="shared" si="10"/>
        <v>0</v>
      </c>
      <c r="W14">
        <f t="shared" si="1"/>
        <v>80</v>
      </c>
      <c r="X14" s="130">
        <f t="shared" si="11"/>
        <v>0.87912087912087911</v>
      </c>
      <c r="Y14">
        <f t="shared" si="12"/>
        <v>0</v>
      </c>
      <c r="Z14">
        <f t="shared" si="1"/>
        <v>79</v>
      </c>
      <c r="AA14" s="130">
        <f t="shared" si="13"/>
        <v>0.97530864197530864</v>
      </c>
      <c r="AB14">
        <f t="shared" si="14"/>
        <v>1</v>
      </c>
      <c r="AC14">
        <f t="shared" si="1"/>
        <v>76</v>
      </c>
      <c r="AD14" s="130">
        <f t="shared" si="15"/>
        <v>0.89411764705882357</v>
      </c>
      <c r="AE14">
        <f t="shared" si="16"/>
        <v>0</v>
      </c>
      <c r="AF14">
        <f t="shared" si="1"/>
        <v>77</v>
      </c>
      <c r="AG14" s="130">
        <f t="shared" si="17"/>
        <v>0.91666666666666663</v>
      </c>
    </row>
    <row r="15" spans="1:47" x14ac:dyDescent="0.2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  <c r="I15" s="205">
        <v>43172</v>
      </c>
      <c r="J15">
        <f t="shared" si="3"/>
        <v>1</v>
      </c>
      <c r="K15">
        <f t="shared" si="1"/>
        <v>82</v>
      </c>
      <c r="L15" s="130">
        <f t="shared" si="4"/>
        <v>0.93181818181818177</v>
      </c>
      <c r="M15">
        <f t="shared" si="5"/>
        <v>0</v>
      </c>
      <c r="N15">
        <f t="shared" si="1"/>
        <v>85</v>
      </c>
      <c r="O15" s="130">
        <f t="shared" si="6"/>
        <v>0.97701149425287359</v>
      </c>
      <c r="P15">
        <f t="shared" si="7"/>
        <v>0</v>
      </c>
      <c r="Q15">
        <f t="shared" si="1"/>
        <v>76</v>
      </c>
      <c r="R15" s="130">
        <f t="shared" si="8"/>
        <v>0.91566265060240959</v>
      </c>
      <c r="S15">
        <f t="shared" si="2"/>
        <v>0</v>
      </c>
      <c r="T15">
        <f t="shared" si="1"/>
        <v>79</v>
      </c>
      <c r="U15" s="130">
        <f t="shared" si="9"/>
        <v>0.92941176470588238</v>
      </c>
      <c r="V15">
        <f t="shared" si="10"/>
        <v>1</v>
      </c>
      <c r="W15">
        <f t="shared" si="1"/>
        <v>79</v>
      </c>
      <c r="X15" s="130">
        <f t="shared" si="11"/>
        <v>0.86813186813186816</v>
      </c>
      <c r="Y15">
        <f t="shared" si="12"/>
        <v>2</v>
      </c>
      <c r="Z15">
        <f t="shared" si="1"/>
        <v>77</v>
      </c>
      <c r="AA15" s="130">
        <f t="shared" si="13"/>
        <v>0.95061728395061729</v>
      </c>
      <c r="AB15">
        <f t="shared" si="14"/>
        <v>0</v>
      </c>
      <c r="AC15">
        <f t="shared" si="1"/>
        <v>76</v>
      </c>
      <c r="AD15" s="130">
        <f t="shared" si="15"/>
        <v>0.89411764705882357</v>
      </c>
      <c r="AE15">
        <f t="shared" si="16"/>
        <v>4</v>
      </c>
      <c r="AF15">
        <f t="shared" si="1"/>
        <v>73</v>
      </c>
      <c r="AG15" s="130">
        <f t="shared" si="17"/>
        <v>0.86904761904761907</v>
      </c>
    </row>
    <row r="16" spans="1:47" x14ac:dyDescent="0.2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  <c r="I16" s="205">
        <v>43182</v>
      </c>
      <c r="J16">
        <f t="shared" si="3"/>
        <v>10</v>
      </c>
      <c r="K16">
        <f t="shared" si="1"/>
        <v>72</v>
      </c>
      <c r="L16" s="130">
        <f t="shared" si="4"/>
        <v>0.81818181818181823</v>
      </c>
      <c r="M16">
        <f t="shared" si="5"/>
        <v>16</v>
      </c>
      <c r="N16">
        <f t="shared" si="1"/>
        <v>69</v>
      </c>
      <c r="O16" s="130">
        <f t="shared" si="6"/>
        <v>0.7931034482758621</v>
      </c>
      <c r="P16">
        <f t="shared" si="7"/>
        <v>7</v>
      </c>
      <c r="Q16">
        <f t="shared" si="1"/>
        <v>69</v>
      </c>
      <c r="R16" s="130">
        <f t="shared" si="8"/>
        <v>0.83132530120481929</v>
      </c>
      <c r="S16">
        <f t="shared" si="2"/>
        <v>3</v>
      </c>
      <c r="T16">
        <f>T17+S17</f>
        <v>76</v>
      </c>
      <c r="U16" s="130">
        <f t="shared" si="9"/>
        <v>0.89411764705882357</v>
      </c>
      <c r="V16">
        <f t="shared" si="10"/>
        <v>21</v>
      </c>
      <c r="W16">
        <f t="shared" si="1"/>
        <v>58</v>
      </c>
      <c r="X16" s="130">
        <f t="shared" si="11"/>
        <v>0.63736263736263732</v>
      </c>
      <c r="Y16">
        <f t="shared" si="12"/>
        <v>23</v>
      </c>
      <c r="Z16">
        <f t="shared" si="1"/>
        <v>54</v>
      </c>
      <c r="AA16" s="130">
        <f t="shared" si="13"/>
        <v>0.66666666666666663</v>
      </c>
      <c r="AB16">
        <f t="shared" si="14"/>
        <v>4</v>
      </c>
      <c r="AC16">
        <f t="shared" si="1"/>
        <v>72</v>
      </c>
      <c r="AD16" s="130">
        <f t="shared" si="15"/>
        <v>0.84705882352941175</v>
      </c>
      <c r="AE16">
        <f t="shared" si="16"/>
        <v>5</v>
      </c>
      <c r="AF16">
        <f t="shared" si="1"/>
        <v>68</v>
      </c>
      <c r="AG16" s="130">
        <f t="shared" si="17"/>
        <v>0.80952380952380953</v>
      </c>
    </row>
    <row r="17" spans="1:33" x14ac:dyDescent="0.2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  <c r="I17" s="205">
        <v>43184</v>
      </c>
      <c r="J17">
        <f t="shared" si="3"/>
        <v>1</v>
      </c>
      <c r="K17">
        <f t="shared" si="1"/>
        <v>71</v>
      </c>
      <c r="L17" s="130">
        <f t="shared" si="4"/>
        <v>0.80681818181818177</v>
      </c>
      <c r="M17">
        <f t="shared" si="5"/>
        <v>2</v>
      </c>
      <c r="N17">
        <f t="shared" si="1"/>
        <v>67</v>
      </c>
      <c r="O17" s="130">
        <f t="shared" si="6"/>
        <v>0.77011494252873558</v>
      </c>
      <c r="P17">
        <f t="shared" si="7"/>
        <v>0</v>
      </c>
      <c r="Q17">
        <f t="shared" si="1"/>
        <v>69</v>
      </c>
      <c r="R17" s="130">
        <f t="shared" si="8"/>
        <v>0.83132530120481929</v>
      </c>
      <c r="S17">
        <f t="shared" si="2"/>
        <v>1</v>
      </c>
      <c r="T17">
        <f t="shared" si="1"/>
        <v>75</v>
      </c>
      <c r="U17" s="130">
        <f t="shared" si="9"/>
        <v>0.88235294117647056</v>
      </c>
      <c r="V17">
        <f t="shared" si="10"/>
        <v>3</v>
      </c>
      <c r="W17">
        <f t="shared" si="1"/>
        <v>55</v>
      </c>
      <c r="X17" s="130">
        <f t="shared" si="11"/>
        <v>0.60439560439560436</v>
      </c>
      <c r="Y17">
        <f t="shared" si="12"/>
        <v>4</v>
      </c>
      <c r="Z17">
        <f t="shared" si="1"/>
        <v>50</v>
      </c>
      <c r="AA17" s="130">
        <f t="shared" si="13"/>
        <v>0.61728395061728392</v>
      </c>
      <c r="AB17">
        <f t="shared" si="14"/>
        <v>1</v>
      </c>
      <c r="AC17">
        <f t="shared" si="1"/>
        <v>71</v>
      </c>
      <c r="AD17" s="130">
        <f t="shared" si="15"/>
        <v>0.83529411764705885</v>
      </c>
      <c r="AE17">
        <f t="shared" si="16"/>
        <v>0</v>
      </c>
      <c r="AF17">
        <f t="shared" si="1"/>
        <v>68</v>
      </c>
      <c r="AG17" s="130">
        <f t="shared" si="17"/>
        <v>0.80952380952380953</v>
      </c>
    </row>
    <row r="18" spans="1:33" x14ac:dyDescent="0.2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  <c r="I18" s="205">
        <v>43186</v>
      </c>
      <c r="J18">
        <f t="shared" si="3"/>
        <v>3</v>
      </c>
      <c r="K18">
        <f t="shared" si="1"/>
        <v>68</v>
      </c>
      <c r="L18" s="130">
        <f t="shared" si="4"/>
        <v>0.77272727272727271</v>
      </c>
      <c r="M18">
        <f t="shared" si="5"/>
        <v>1</v>
      </c>
      <c r="N18">
        <f t="shared" si="1"/>
        <v>66</v>
      </c>
      <c r="O18" s="130">
        <f t="shared" si="6"/>
        <v>0.75862068965517238</v>
      </c>
      <c r="P18">
        <f t="shared" si="7"/>
        <v>1</v>
      </c>
      <c r="Q18">
        <f t="shared" si="1"/>
        <v>68</v>
      </c>
      <c r="R18" s="130">
        <f t="shared" si="8"/>
        <v>0.81927710843373491</v>
      </c>
      <c r="S18">
        <f t="shared" si="2"/>
        <v>0</v>
      </c>
      <c r="T18">
        <f t="shared" si="1"/>
        <v>75</v>
      </c>
      <c r="U18" s="130">
        <f t="shared" si="9"/>
        <v>0.88235294117647056</v>
      </c>
      <c r="V18">
        <f t="shared" si="10"/>
        <v>2</v>
      </c>
      <c r="W18">
        <f t="shared" si="1"/>
        <v>53</v>
      </c>
      <c r="X18" s="130">
        <f t="shared" si="11"/>
        <v>0.58241758241758246</v>
      </c>
      <c r="Y18">
        <f t="shared" si="12"/>
        <v>4</v>
      </c>
      <c r="Z18">
        <f t="shared" si="1"/>
        <v>46</v>
      </c>
      <c r="AA18" s="130">
        <f t="shared" si="13"/>
        <v>0.5679012345679012</v>
      </c>
      <c r="AB18">
        <f t="shared" si="14"/>
        <v>0</v>
      </c>
      <c r="AC18">
        <f t="shared" si="1"/>
        <v>71</v>
      </c>
      <c r="AD18" s="130">
        <f t="shared" si="15"/>
        <v>0.83529411764705885</v>
      </c>
      <c r="AE18">
        <f t="shared" si="16"/>
        <v>0</v>
      </c>
      <c r="AF18">
        <f t="shared" si="1"/>
        <v>68</v>
      </c>
      <c r="AG18" s="130">
        <f t="shared" si="17"/>
        <v>0.80952380952380953</v>
      </c>
    </row>
    <row r="19" spans="1:33" x14ac:dyDescent="0.2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  <c r="I19" s="205">
        <v>43189</v>
      </c>
      <c r="J19">
        <f t="shared" si="3"/>
        <v>1</v>
      </c>
      <c r="K19">
        <f t="shared" si="1"/>
        <v>67</v>
      </c>
      <c r="L19" s="130">
        <f t="shared" si="4"/>
        <v>0.76136363636363635</v>
      </c>
      <c r="M19">
        <f t="shared" si="5"/>
        <v>3</v>
      </c>
      <c r="N19">
        <f t="shared" si="1"/>
        <v>63</v>
      </c>
      <c r="O19" s="130">
        <f t="shared" si="6"/>
        <v>0.72413793103448276</v>
      </c>
      <c r="P19">
        <f t="shared" si="7"/>
        <v>0</v>
      </c>
      <c r="Q19">
        <f t="shared" si="1"/>
        <v>68</v>
      </c>
      <c r="R19" s="130">
        <f t="shared" si="8"/>
        <v>0.81927710843373491</v>
      </c>
      <c r="S19">
        <f t="shared" si="2"/>
        <v>1</v>
      </c>
      <c r="T19">
        <f t="shared" si="1"/>
        <v>74</v>
      </c>
      <c r="U19" s="130">
        <f t="shared" si="9"/>
        <v>0.87058823529411766</v>
      </c>
      <c r="V19">
        <f t="shared" si="10"/>
        <v>1</v>
      </c>
      <c r="W19">
        <f t="shared" si="1"/>
        <v>52</v>
      </c>
      <c r="X19" s="130">
        <f t="shared" si="11"/>
        <v>0.5714285714285714</v>
      </c>
      <c r="Y19">
        <f t="shared" si="12"/>
        <v>3</v>
      </c>
      <c r="Z19">
        <f t="shared" si="1"/>
        <v>43</v>
      </c>
      <c r="AA19" s="130">
        <f t="shared" si="13"/>
        <v>0.53086419753086422</v>
      </c>
      <c r="AB19">
        <f t="shared" si="14"/>
        <v>0</v>
      </c>
      <c r="AC19">
        <f t="shared" si="1"/>
        <v>71</v>
      </c>
      <c r="AD19" s="130">
        <f t="shared" si="15"/>
        <v>0.83529411764705885</v>
      </c>
      <c r="AE19">
        <f t="shared" si="16"/>
        <v>1</v>
      </c>
      <c r="AF19">
        <f t="shared" si="1"/>
        <v>67</v>
      </c>
      <c r="AG19" s="130">
        <f t="shared" si="17"/>
        <v>0.79761904761904767</v>
      </c>
    </row>
    <row r="20" spans="1:33" x14ac:dyDescent="0.2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  <c r="I20" s="205">
        <v>43193</v>
      </c>
      <c r="J20">
        <f t="shared" si="3"/>
        <v>0</v>
      </c>
      <c r="K20">
        <f>K21+J21</f>
        <v>67</v>
      </c>
      <c r="L20" s="130">
        <f t="shared" si="4"/>
        <v>0.76136363636363635</v>
      </c>
      <c r="M20">
        <f t="shared" si="5"/>
        <v>4</v>
      </c>
      <c r="N20">
        <f>N21+M21</f>
        <v>59</v>
      </c>
      <c r="O20" s="130">
        <f t="shared" si="6"/>
        <v>0.67816091954022983</v>
      </c>
      <c r="P20">
        <f t="shared" si="7"/>
        <v>1</v>
      </c>
      <c r="Q20">
        <f>Q21+P21</f>
        <v>67</v>
      </c>
      <c r="R20" s="130">
        <f t="shared" si="8"/>
        <v>0.80722891566265065</v>
      </c>
      <c r="S20">
        <f t="shared" si="2"/>
        <v>1</v>
      </c>
      <c r="T20">
        <f>T21+S21</f>
        <v>73</v>
      </c>
      <c r="U20" s="130">
        <f t="shared" si="9"/>
        <v>0.85882352941176465</v>
      </c>
      <c r="V20">
        <f t="shared" si="10"/>
        <v>1</v>
      </c>
      <c r="W20">
        <f>W21+V21</f>
        <v>51</v>
      </c>
      <c r="X20" s="130">
        <f t="shared" si="11"/>
        <v>0.56043956043956045</v>
      </c>
      <c r="Y20">
        <f t="shared" si="12"/>
        <v>3</v>
      </c>
      <c r="Z20">
        <f>Z21+Y21</f>
        <v>40</v>
      </c>
      <c r="AA20" s="130">
        <f t="shared" si="13"/>
        <v>0.49382716049382713</v>
      </c>
      <c r="AB20">
        <f t="shared" si="14"/>
        <v>0</v>
      </c>
      <c r="AC20">
        <f>AC21+AB21</f>
        <v>71</v>
      </c>
      <c r="AD20" s="130">
        <f t="shared" si="15"/>
        <v>0.83529411764705885</v>
      </c>
      <c r="AE20">
        <f t="shared" si="16"/>
        <v>0</v>
      </c>
      <c r="AF20">
        <f>AF21+AE21</f>
        <v>67</v>
      </c>
      <c r="AG20" s="130">
        <f t="shared" si="17"/>
        <v>0.79761904761904767</v>
      </c>
    </row>
    <row r="21" spans="1:33" x14ac:dyDescent="0.2">
      <c r="A21" s="60">
        <v>43116</v>
      </c>
      <c r="B21" t="s">
        <v>82</v>
      </c>
      <c r="C21" t="s">
        <v>84</v>
      </c>
      <c r="D21">
        <v>2</v>
      </c>
      <c r="E21">
        <f t="shared" si="0"/>
        <v>5</v>
      </c>
      <c r="I21" s="205">
        <v>43198</v>
      </c>
      <c r="J21">
        <f t="shared" si="3"/>
        <v>1</v>
      </c>
      <c r="K21">
        <f>K29+K30</f>
        <v>66</v>
      </c>
      <c r="L21" s="130">
        <f t="shared" si="4"/>
        <v>0.75</v>
      </c>
      <c r="M21">
        <f t="shared" si="5"/>
        <v>0</v>
      </c>
      <c r="N21">
        <f>K31+K32</f>
        <v>59</v>
      </c>
      <c r="O21" s="130">
        <f t="shared" si="6"/>
        <v>0.67816091954022983</v>
      </c>
      <c r="P21">
        <f t="shared" si="7"/>
        <v>0</v>
      </c>
      <c r="Q21">
        <f>K33+K34</f>
        <v>67</v>
      </c>
      <c r="R21" s="130">
        <f t="shared" si="8"/>
        <v>0.80722891566265065</v>
      </c>
      <c r="S21">
        <f t="shared" si="2"/>
        <v>0</v>
      </c>
      <c r="T21">
        <f>K35+K36</f>
        <v>73</v>
      </c>
      <c r="U21" s="130">
        <f t="shared" si="9"/>
        <v>0.85882352941176465</v>
      </c>
      <c r="V21">
        <f t="shared" si="10"/>
        <v>0</v>
      </c>
      <c r="W21">
        <f>K37+K38</f>
        <v>51</v>
      </c>
      <c r="X21" s="130">
        <f t="shared" si="11"/>
        <v>0.56043956043956045</v>
      </c>
      <c r="Y21">
        <f t="shared" si="12"/>
        <v>2</v>
      </c>
      <c r="Z21">
        <f>K39+K40</f>
        <v>38</v>
      </c>
      <c r="AA21" s="130">
        <f t="shared" si="13"/>
        <v>0.46913580246913578</v>
      </c>
      <c r="AB21">
        <f t="shared" si="14"/>
        <v>0</v>
      </c>
      <c r="AC21">
        <f>K41+K42</f>
        <v>71</v>
      </c>
      <c r="AD21" s="130">
        <f t="shared" si="15"/>
        <v>0.83529411764705885</v>
      </c>
      <c r="AE21">
        <f t="shared" si="16"/>
        <v>0</v>
      </c>
      <c r="AF21">
        <f>K43+K44</f>
        <v>67</v>
      </c>
      <c r="AG21" s="130">
        <f t="shared" si="17"/>
        <v>0.79761904761904767</v>
      </c>
    </row>
    <row r="22" spans="1:33" x14ac:dyDescent="0.2">
      <c r="A22" s="60">
        <v>43116</v>
      </c>
      <c r="B22" t="s">
        <v>60</v>
      </c>
      <c r="C22">
        <v>4</v>
      </c>
      <c r="D22">
        <v>1</v>
      </c>
      <c r="E22">
        <f t="shared" si="0"/>
        <v>4</v>
      </c>
      <c r="I22" s="205">
        <v>43204</v>
      </c>
      <c r="J22">
        <f t="shared" si="3"/>
        <v>1</v>
      </c>
      <c r="K22">
        <f>K21-J22</f>
        <v>65</v>
      </c>
      <c r="L22" s="130">
        <f t="shared" si="4"/>
        <v>0.73863636363636365</v>
      </c>
      <c r="M22">
        <f t="shared" si="5"/>
        <v>0</v>
      </c>
      <c r="N22">
        <f>N21-M22</f>
        <v>59</v>
      </c>
      <c r="O22" s="130">
        <f t="shared" si="6"/>
        <v>0.67816091954022983</v>
      </c>
      <c r="P22">
        <f t="shared" si="7"/>
        <v>0</v>
      </c>
      <c r="Q22">
        <f>Q21-P22</f>
        <v>67</v>
      </c>
      <c r="R22" s="130">
        <f t="shared" si="8"/>
        <v>0.80722891566265065</v>
      </c>
      <c r="S22">
        <f t="shared" si="2"/>
        <v>1</v>
      </c>
      <c r="T22">
        <f>T21-S22</f>
        <v>72</v>
      </c>
      <c r="U22" s="130">
        <f t="shared" si="9"/>
        <v>0.84705882352941175</v>
      </c>
      <c r="V22">
        <f t="shared" si="10"/>
        <v>1</v>
      </c>
      <c r="W22">
        <f>W21-V22</f>
        <v>50</v>
      </c>
      <c r="X22" s="130">
        <f t="shared" si="11"/>
        <v>0.5494505494505495</v>
      </c>
      <c r="Y22">
        <f t="shared" si="12"/>
        <v>0</v>
      </c>
      <c r="Z22">
        <f>Z21-Y22</f>
        <v>38</v>
      </c>
      <c r="AA22" s="130">
        <f t="shared" si="13"/>
        <v>0.46913580246913578</v>
      </c>
      <c r="AB22">
        <f t="shared" si="14"/>
        <v>0</v>
      </c>
      <c r="AC22">
        <f>AC21-AB22</f>
        <v>71</v>
      </c>
      <c r="AD22" s="130">
        <f t="shared" si="15"/>
        <v>0.83529411764705885</v>
      </c>
      <c r="AE22">
        <f t="shared" si="16"/>
        <v>0</v>
      </c>
      <c r="AF22">
        <f>AF21-AE22</f>
        <v>67</v>
      </c>
      <c r="AG22" s="130">
        <f t="shared" si="17"/>
        <v>0.79761904761904767</v>
      </c>
    </row>
    <row r="23" spans="1:33" x14ac:dyDescent="0.2">
      <c r="A23" s="60">
        <v>43116</v>
      </c>
      <c r="B23" t="s">
        <v>60</v>
      </c>
      <c r="C23">
        <v>3</v>
      </c>
      <c r="D23">
        <v>2</v>
      </c>
      <c r="E23">
        <f t="shared" si="0"/>
        <v>4</v>
      </c>
      <c r="I23" s="205">
        <v>43207</v>
      </c>
      <c r="J23">
        <f t="shared" si="3"/>
        <v>0</v>
      </c>
      <c r="K23">
        <f t="shared" ref="K23:AF25" si="18">K22-J23</f>
        <v>65</v>
      </c>
      <c r="L23" s="130">
        <f t="shared" si="4"/>
        <v>0.73863636363636365</v>
      </c>
      <c r="M23">
        <f t="shared" si="5"/>
        <v>2</v>
      </c>
      <c r="N23">
        <f t="shared" si="18"/>
        <v>57</v>
      </c>
      <c r="O23" s="130">
        <f t="shared" si="6"/>
        <v>0.65517241379310343</v>
      </c>
      <c r="P23">
        <f t="shared" si="7"/>
        <v>0</v>
      </c>
      <c r="Q23">
        <f t="shared" si="18"/>
        <v>67</v>
      </c>
      <c r="R23" s="130">
        <f t="shared" si="8"/>
        <v>0.80722891566265065</v>
      </c>
      <c r="S23">
        <f t="shared" si="2"/>
        <v>0</v>
      </c>
      <c r="T23">
        <f t="shared" si="18"/>
        <v>72</v>
      </c>
      <c r="U23" s="130">
        <f t="shared" si="9"/>
        <v>0.84705882352941175</v>
      </c>
      <c r="V23">
        <f t="shared" si="10"/>
        <v>0</v>
      </c>
      <c r="W23">
        <f t="shared" si="18"/>
        <v>50</v>
      </c>
      <c r="X23" s="130">
        <f t="shared" si="11"/>
        <v>0.5494505494505495</v>
      </c>
      <c r="Y23">
        <f t="shared" si="12"/>
        <v>0</v>
      </c>
      <c r="Z23">
        <f t="shared" si="18"/>
        <v>38</v>
      </c>
      <c r="AA23" s="130">
        <f t="shared" si="13"/>
        <v>0.46913580246913578</v>
      </c>
      <c r="AB23">
        <f t="shared" si="14"/>
        <v>1</v>
      </c>
      <c r="AC23">
        <f t="shared" si="18"/>
        <v>70</v>
      </c>
      <c r="AD23" s="130">
        <f t="shared" si="15"/>
        <v>0.82352941176470584</v>
      </c>
      <c r="AE23">
        <f t="shared" si="16"/>
        <v>0</v>
      </c>
      <c r="AF23">
        <f t="shared" si="18"/>
        <v>67</v>
      </c>
      <c r="AG23" s="130">
        <f t="shared" si="17"/>
        <v>0.79761904761904767</v>
      </c>
    </row>
    <row r="24" spans="1:33" x14ac:dyDescent="0.2">
      <c r="A24" s="60">
        <v>43123</v>
      </c>
      <c r="B24" t="s">
        <v>29</v>
      </c>
      <c r="C24" t="s">
        <v>84</v>
      </c>
      <c r="D24">
        <v>1</v>
      </c>
      <c r="E24">
        <f t="shared" si="0"/>
        <v>4</v>
      </c>
      <c r="I24" s="205">
        <v>43212</v>
      </c>
      <c r="J24">
        <f t="shared" si="3"/>
        <v>0</v>
      </c>
      <c r="K24">
        <f t="shared" si="18"/>
        <v>65</v>
      </c>
      <c r="L24" s="130">
        <f t="shared" si="4"/>
        <v>0.73863636363636365</v>
      </c>
      <c r="M24">
        <f t="shared" si="5"/>
        <v>0</v>
      </c>
      <c r="N24">
        <f t="shared" si="18"/>
        <v>57</v>
      </c>
      <c r="O24" s="130">
        <f t="shared" si="6"/>
        <v>0.65517241379310343</v>
      </c>
      <c r="P24">
        <f t="shared" si="7"/>
        <v>1</v>
      </c>
      <c r="Q24">
        <f t="shared" si="18"/>
        <v>66</v>
      </c>
      <c r="R24" s="130">
        <f t="shared" si="8"/>
        <v>0.79518072289156627</v>
      </c>
      <c r="S24">
        <f t="shared" si="2"/>
        <v>1</v>
      </c>
      <c r="T24">
        <f t="shared" si="18"/>
        <v>71</v>
      </c>
      <c r="U24" s="130">
        <f t="shared" si="9"/>
        <v>0.83529411764705885</v>
      </c>
      <c r="V24">
        <f t="shared" si="10"/>
        <v>2</v>
      </c>
      <c r="W24">
        <f t="shared" si="18"/>
        <v>48</v>
      </c>
      <c r="X24" s="130">
        <f t="shared" si="11"/>
        <v>0.52747252747252749</v>
      </c>
      <c r="Y24">
        <f t="shared" si="12"/>
        <v>0</v>
      </c>
      <c r="Z24">
        <f t="shared" si="18"/>
        <v>38</v>
      </c>
      <c r="AA24" s="130">
        <f t="shared" si="13"/>
        <v>0.46913580246913578</v>
      </c>
      <c r="AB24">
        <f t="shared" si="14"/>
        <v>0</v>
      </c>
      <c r="AC24">
        <f t="shared" si="18"/>
        <v>70</v>
      </c>
      <c r="AD24" s="130">
        <f t="shared" si="15"/>
        <v>0.82352941176470584</v>
      </c>
      <c r="AE24">
        <f t="shared" si="16"/>
        <v>0</v>
      </c>
      <c r="AF24">
        <f t="shared" si="18"/>
        <v>67</v>
      </c>
      <c r="AG24" s="130">
        <f t="shared" si="17"/>
        <v>0.79761904761904767</v>
      </c>
    </row>
    <row r="25" spans="1:33" x14ac:dyDescent="0.2">
      <c r="A25" s="60">
        <v>43123</v>
      </c>
      <c r="B25" t="s">
        <v>82</v>
      </c>
      <c r="C25">
        <v>31</v>
      </c>
      <c r="D25">
        <v>2</v>
      </c>
      <c r="E25">
        <f t="shared" si="0"/>
        <v>8</v>
      </c>
      <c r="I25" s="205">
        <v>43217</v>
      </c>
      <c r="J25">
        <f t="shared" si="3"/>
        <v>0</v>
      </c>
      <c r="K25">
        <f t="shared" si="18"/>
        <v>65</v>
      </c>
      <c r="L25" s="130">
        <f t="shared" si="4"/>
        <v>0.73863636363636365</v>
      </c>
      <c r="M25">
        <f t="shared" si="5"/>
        <v>0</v>
      </c>
      <c r="N25">
        <f t="shared" si="18"/>
        <v>57</v>
      </c>
      <c r="O25" s="130">
        <f t="shared" si="6"/>
        <v>0.65517241379310343</v>
      </c>
      <c r="P25">
        <f t="shared" si="7"/>
        <v>0</v>
      </c>
      <c r="Q25">
        <f t="shared" si="18"/>
        <v>66</v>
      </c>
      <c r="R25" s="130">
        <f t="shared" si="8"/>
        <v>0.79518072289156627</v>
      </c>
      <c r="S25">
        <f t="shared" si="2"/>
        <v>2</v>
      </c>
      <c r="T25">
        <f t="shared" si="18"/>
        <v>69</v>
      </c>
      <c r="U25" s="130">
        <f t="shared" si="9"/>
        <v>0.81176470588235294</v>
      </c>
      <c r="V25">
        <f t="shared" si="10"/>
        <v>0</v>
      </c>
      <c r="W25">
        <f t="shared" si="18"/>
        <v>48</v>
      </c>
      <c r="X25" s="130">
        <f t="shared" si="11"/>
        <v>0.52747252747252749</v>
      </c>
      <c r="Y25">
        <f t="shared" si="12"/>
        <v>0</v>
      </c>
      <c r="Z25">
        <f t="shared" si="18"/>
        <v>38</v>
      </c>
      <c r="AA25" s="130">
        <f t="shared" si="13"/>
        <v>0.46913580246913578</v>
      </c>
      <c r="AB25">
        <f t="shared" si="14"/>
        <v>1</v>
      </c>
      <c r="AC25">
        <f t="shared" si="18"/>
        <v>69</v>
      </c>
      <c r="AD25" s="130">
        <f t="shared" si="15"/>
        <v>0.81176470588235294</v>
      </c>
      <c r="AE25">
        <f t="shared" si="16"/>
        <v>0</v>
      </c>
      <c r="AF25">
        <f t="shared" si="18"/>
        <v>67</v>
      </c>
      <c r="AG25" s="130">
        <f t="shared" si="17"/>
        <v>0.79761904761904767</v>
      </c>
    </row>
    <row r="26" spans="1:33" x14ac:dyDescent="0.2">
      <c r="A26" s="60">
        <v>43123</v>
      </c>
      <c r="B26" t="s">
        <v>82</v>
      </c>
      <c r="C26">
        <v>32</v>
      </c>
      <c r="D26">
        <v>1</v>
      </c>
      <c r="E26">
        <f t="shared" si="0"/>
        <v>8</v>
      </c>
    </row>
    <row r="27" spans="1:33" x14ac:dyDescent="0.2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33" x14ac:dyDescent="0.2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  <c r="I28" s="206" t="s">
        <v>21</v>
      </c>
      <c r="J28" t="s">
        <v>1</v>
      </c>
      <c r="K28" t="s">
        <v>193</v>
      </c>
    </row>
    <row r="29" spans="1:33" x14ac:dyDescent="0.2">
      <c r="A29" s="60">
        <v>43123</v>
      </c>
      <c r="B29" t="s">
        <v>58</v>
      </c>
      <c r="C29">
        <v>6</v>
      </c>
      <c r="D29">
        <v>1</v>
      </c>
      <c r="E29">
        <f t="shared" si="0"/>
        <v>4</v>
      </c>
      <c r="I29" s="206" t="s">
        <v>39</v>
      </c>
      <c r="J29" t="s">
        <v>37</v>
      </c>
      <c r="K29">
        <v>32</v>
      </c>
    </row>
    <row r="30" spans="1:33" x14ac:dyDescent="0.2">
      <c r="A30" s="60">
        <v>43136</v>
      </c>
      <c r="B30" t="s">
        <v>60</v>
      </c>
      <c r="C30" t="s">
        <v>84</v>
      </c>
      <c r="D30">
        <v>2</v>
      </c>
      <c r="E30">
        <f t="shared" si="0"/>
        <v>6</v>
      </c>
      <c r="I30" s="206" t="s">
        <v>67</v>
      </c>
      <c r="J30" t="s">
        <v>37</v>
      </c>
      <c r="K30">
        <v>34</v>
      </c>
    </row>
    <row r="31" spans="1:33" x14ac:dyDescent="0.2">
      <c r="A31" s="60">
        <v>43136</v>
      </c>
      <c r="B31" t="s">
        <v>29</v>
      </c>
      <c r="C31" t="s">
        <v>84</v>
      </c>
      <c r="D31">
        <v>1</v>
      </c>
      <c r="E31">
        <f t="shared" si="0"/>
        <v>5</v>
      </c>
      <c r="I31" s="206" t="s">
        <v>68</v>
      </c>
      <c r="J31" t="s">
        <v>28</v>
      </c>
      <c r="K31">
        <v>31</v>
      </c>
    </row>
    <row r="32" spans="1:33" x14ac:dyDescent="0.2">
      <c r="A32" s="60">
        <v>43136</v>
      </c>
      <c r="B32" t="s">
        <v>28</v>
      </c>
      <c r="C32" t="s">
        <v>84</v>
      </c>
      <c r="D32">
        <v>1</v>
      </c>
      <c r="E32">
        <f t="shared" si="0"/>
        <v>2</v>
      </c>
      <c r="I32" s="206" t="s">
        <v>77</v>
      </c>
      <c r="J32" t="s">
        <v>28</v>
      </c>
      <c r="K32">
        <v>28</v>
      </c>
    </row>
    <row r="33" spans="1:11" x14ac:dyDescent="0.2">
      <c r="A33" s="60">
        <v>43136</v>
      </c>
      <c r="B33" t="s">
        <v>58</v>
      </c>
      <c r="C33" t="s">
        <v>84</v>
      </c>
      <c r="D33">
        <v>2</v>
      </c>
      <c r="E33">
        <f t="shared" si="0"/>
        <v>6</v>
      </c>
      <c r="I33" s="206" t="s">
        <v>61</v>
      </c>
      <c r="J33" t="s">
        <v>29</v>
      </c>
      <c r="K33">
        <v>33</v>
      </c>
    </row>
    <row r="34" spans="1:11" x14ac:dyDescent="0.2">
      <c r="A34" s="60">
        <v>43136</v>
      </c>
      <c r="B34" t="s">
        <v>82</v>
      </c>
      <c r="C34" t="s">
        <v>84</v>
      </c>
      <c r="D34">
        <v>1</v>
      </c>
      <c r="E34">
        <f t="shared" ref="E34:E65" si="19">SUMIFS(D:D,B:B, B34,A:A,"&lt;="&amp;A34)</f>
        <v>9</v>
      </c>
      <c r="I34" s="206" t="s">
        <v>119</v>
      </c>
      <c r="J34" t="s">
        <v>29</v>
      </c>
      <c r="K34">
        <v>34</v>
      </c>
    </row>
    <row r="35" spans="1:11" x14ac:dyDescent="0.2">
      <c r="A35" s="60">
        <v>43140</v>
      </c>
      <c r="B35" t="s">
        <v>29</v>
      </c>
      <c r="C35">
        <v>18</v>
      </c>
      <c r="D35">
        <v>1</v>
      </c>
      <c r="E35">
        <f t="shared" si="19"/>
        <v>6</v>
      </c>
      <c r="I35" s="206" t="s">
        <v>38</v>
      </c>
      <c r="J35" t="s">
        <v>36</v>
      </c>
      <c r="K35">
        <v>36</v>
      </c>
    </row>
    <row r="36" spans="1:11" x14ac:dyDescent="0.2">
      <c r="A36" s="60">
        <v>43145</v>
      </c>
      <c r="B36" t="s">
        <v>37</v>
      </c>
      <c r="C36" t="s">
        <v>84</v>
      </c>
      <c r="D36">
        <v>1</v>
      </c>
      <c r="E36">
        <f t="shared" si="19"/>
        <v>4</v>
      </c>
      <c r="I36" s="206" t="s">
        <v>42</v>
      </c>
      <c r="J36" t="s">
        <v>36</v>
      </c>
      <c r="K36">
        <v>37</v>
      </c>
    </row>
    <row r="37" spans="1:11" x14ac:dyDescent="0.2">
      <c r="A37" s="60">
        <v>43145</v>
      </c>
      <c r="B37" t="s">
        <v>82</v>
      </c>
      <c r="C37" t="s">
        <v>84</v>
      </c>
      <c r="D37">
        <v>1</v>
      </c>
      <c r="E37">
        <f t="shared" si="19"/>
        <v>10</v>
      </c>
      <c r="I37" s="206" t="s">
        <v>113</v>
      </c>
      <c r="J37" t="s">
        <v>82</v>
      </c>
      <c r="K37">
        <v>28</v>
      </c>
    </row>
    <row r="38" spans="1:11" x14ac:dyDescent="0.2">
      <c r="A38" s="60">
        <v>43145</v>
      </c>
      <c r="B38" t="s">
        <v>60</v>
      </c>
      <c r="C38" t="s">
        <v>84</v>
      </c>
      <c r="D38">
        <v>1</v>
      </c>
      <c r="E38">
        <f t="shared" si="19"/>
        <v>7</v>
      </c>
      <c r="I38" s="206" t="s">
        <v>94</v>
      </c>
      <c r="J38" t="s">
        <v>82</v>
      </c>
      <c r="K38">
        <v>23</v>
      </c>
    </row>
    <row r="39" spans="1:11" x14ac:dyDescent="0.2">
      <c r="A39" s="60">
        <v>43145</v>
      </c>
      <c r="B39" t="s">
        <v>83</v>
      </c>
      <c r="C39" t="s">
        <v>84</v>
      </c>
      <c r="D39">
        <v>1</v>
      </c>
      <c r="E39">
        <f t="shared" si="19"/>
        <v>1</v>
      </c>
      <c r="I39" s="206" t="s">
        <v>95</v>
      </c>
      <c r="J39" t="s">
        <v>83</v>
      </c>
      <c r="K39">
        <v>19</v>
      </c>
    </row>
    <row r="40" spans="1:11" x14ac:dyDescent="0.2">
      <c r="A40" s="60">
        <v>43145</v>
      </c>
      <c r="B40" t="s">
        <v>58</v>
      </c>
      <c r="C40" t="s">
        <v>84</v>
      </c>
      <c r="D40">
        <v>1</v>
      </c>
      <c r="E40">
        <f t="shared" si="19"/>
        <v>7</v>
      </c>
      <c r="I40" s="206" t="s">
        <v>96</v>
      </c>
      <c r="J40" t="s">
        <v>83</v>
      </c>
      <c r="K40">
        <v>19</v>
      </c>
    </row>
    <row r="41" spans="1:11" x14ac:dyDescent="0.2">
      <c r="A41" s="60">
        <v>43152</v>
      </c>
      <c r="B41" t="s">
        <v>37</v>
      </c>
      <c r="C41">
        <v>16</v>
      </c>
      <c r="D41">
        <v>1</v>
      </c>
      <c r="E41">
        <f t="shared" si="19"/>
        <v>5</v>
      </c>
      <c r="F41" t="s">
        <v>85</v>
      </c>
      <c r="I41" s="206" t="s">
        <v>65</v>
      </c>
      <c r="J41" t="s">
        <v>60</v>
      </c>
      <c r="K41">
        <v>34</v>
      </c>
    </row>
    <row r="42" spans="1:11" x14ac:dyDescent="0.2">
      <c r="A42" s="60">
        <v>43152</v>
      </c>
      <c r="B42" t="s">
        <v>29</v>
      </c>
      <c r="C42">
        <v>27</v>
      </c>
      <c r="D42">
        <v>1</v>
      </c>
      <c r="E42">
        <f t="shared" si="19"/>
        <v>7</v>
      </c>
      <c r="I42" s="206" t="s">
        <v>66</v>
      </c>
      <c r="J42" t="s">
        <v>60</v>
      </c>
      <c r="K42">
        <v>37</v>
      </c>
    </row>
    <row r="43" spans="1:11" x14ac:dyDescent="0.2">
      <c r="A43" s="60">
        <v>43152</v>
      </c>
      <c r="B43" t="s">
        <v>82</v>
      </c>
      <c r="C43">
        <v>30</v>
      </c>
      <c r="D43">
        <v>1</v>
      </c>
      <c r="E43">
        <f t="shared" si="19"/>
        <v>11</v>
      </c>
      <c r="I43" s="206" t="s">
        <v>69</v>
      </c>
      <c r="J43" t="s">
        <v>58</v>
      </c>
      <c r="K43">
        <v>32</v>
      </c>
    </row>
    <row r="44" spans="1:11" x14ac:dyDescent="0.2">
      <c r="A44" s="60">
        <v>43153</v>
      </c>
      <c r="B44" t="s">
        <v>28</v>
      </c>
      <c r="C44">
        <v>23</v>
      </c>
      <c r="D44">
        <v>1</v>
      </c>
      <c r="E44">
        <f t="shared" si="19"/>
        <v>3</v>
      </c>
      <c r="I44" s="206" t="s">
        <v>59</v>
      </c>
      <c r="J44" t="s">
        <v>58</v>
      </c>
      <c r="K44">
        <v>35</v>
      </c>
    </row>
    <row r="45" spans="1:11" x14ac:dyDescent="0.2">
      <c r="A45" s="60">
        <v>43158</v>
      </c>
      <c r="B45" t="s">
        <v>83</v>
      </c>
      <c r="C45">
        <v>19</v>
      </c>
      <c r="D45">
        <v>1</v>
      </c>
      <c r="E45">
        <f t="shared" si="19"/>
        <v>2</v>
      </c>
    </row>
    <row r="46" spans="1:11" x14ac:dyDescent="0.2">
      <c r="A46" s="60">
        <v>43158</v>
      </c>
      <c r="B46" t="s">
        <v>36</v>
      </c>
      <c r="C46">
        <v>11</v>
      </c>
      <c r="D46">
        <v>1</v>
      </c>
      <c r="E46">
        <f t="shared" si="19"/>
        <v>9</v>
      </c>
    </row>
    <row r="47" spans="1:11" x14ac:dyDescent="0.2">
      <c r="A47" s="60">
        <v>43158</v>
      </c>
      <c r="B47" t="s">
        <v>60</v>
      </c>
      <c r="C47">
        <v>14</v>
      </c>
      <c r="D47">
        <v>1</v>
      </c>
      <c r="E47">
        <f t="shared" si="19"/>
        <v>8</v>
      </c>
    </row>
    <row r="48" spans="1:11" x14ac:dyDescent="0.2">
      <c r="A48" s="60">
        <v>43158</v>
      </c>
      <c r="B48" t="s">
        <v>58</v>
      </c>
      <c r="C48">
        <v>6</v>
      </c>
      <c r="D48">
        <v>1</v>
      </c>
      <c r="E48">
        <f t="shared" si="19"/>
        <v>9</v>
      </c>
    </row>
    <row r="49" spans="1:5" x14ac:dyDescent="0.2">
      <c r="A49" s="60">
        <v>43158</v>
      </c>
      <c r="B49" t="s">
        <v>58</v>
      </c>
      <c r="C49">
        <v>2</v>
      </c>
      <c r="D49">
        <v>1</v>
      </c>
      <c r="E49">
        <f t="shared" si="19"/>
        <v>9</v>
      </c>
    </row>
    <row r="50" spans="1:5" x14ac:dyDescent="0.2">
      <c r="A50" s="60">
        <v>43168</v>
      </c>
      <c r="B50" t="s">
        <v>60</v>
      </c>
      <c r="C50">
        <v>4</v>
      </c>
      <c r="D50">
        <v>1</v>
      </c>
      <c r="E50">
        <f t="shared" si="19"/>
        <v>9</v>
      </c>
    </row>
    <row r="51" spans="1:5" x14ac:dyDescent="0.2">
      <c r="A51" s="60">
        <v>43172</v>
      </c>
      <c r="B51" t="s">
        <v>82</v>
      </c>
      <c r="C51">
        <v>32</v>
      </c>
      <c r="D51">
        <v>1</v>
      </c>
      <c r="E51">
        <f t="shared" si="19"/>
        <v>12</v>
      </c>
    </row>
    <row r="52" spans="1:5" x14ac:dyDescent="0.2">
      <c r="A52" s="60">
        <v>43172</v>
      </c>
      <c r="B52" t="s">
        <v>83</v>
      </c>
      <c r="C52">
        <v>22</v>
      </c>
      <c r="D52">
        <v>2</v>
      </c>
      <c r="E52">
        <f t="shared" si="19"/>
        <v>4</v>
      </c>
    </row>
    <row r="53" spans="1:5" x14ac:dyDescent="0.2">
      <c r="A53" s="60">
        <v>43172</v>
      </c>
      <c r="B53" t="s">
        <v>58</v>
      </c>
      <c r="C53">
        <v>8</v>
      </c>
      <c r="D53">
        <v>2</v>
      </c>
      <c r="E53">
        <f t="shared" si="19"/>
        <v>13</v>
      </c>
    </row>
    <row r="54" spans="1:5" x14ac:dyDescent="0.2">
      <c r="A54" s="60">
        <v>43172</v>
      </c>
      <c r="B54" t="s">
        <v>58</v>
      </c>
      <c r="C54">
        <v>2</v>
      </c>
      <c r="D54">
        <v>2</v>
      </c>
      <c r="E54">
        <f t="shared" si="19"/>
        <v>13</v>
      </c>
    </row>
    <row r="55" spans="1:5" x14ac:dyDescent="0.2">
      <c r="A55" s="60">
        <v>43172</v>
      </c>
      <c r="B55" t="s">
        <v>37</v>
      </c>
      <c r="C55">
        <v>1</v>
      </c>
      <c r="D55">
        <v>1</v>
      </c>
      <c r="E55">
        <f t="shared" si="19"/>
        <v>6</v>
      </c>
    </row>
    <row r="56" spans="1:5" x14ac:dyDescent="0.2">
      <c r="A56" s="60">
        <v>43182</v>
      </c>
      <c r="B56" t="s">
        <v>28</v>
      </c>
      <c r="C56">
        <v>24</v>
      </c>
      <c r="D56">
        <v>1</v>
      </c>
      <c r="E56">
        <f t="shared" si="19"/>
        <v>19</v>
      </c>
    </row>
    <row r="57" spans="1:5" x14ac:dyDescent="0.2">
      <c r="A57" s="60">
        <v>43182</v>
      </c>
      <c r="B57" t="s">
        <v>29</v>
      </c>
      <c r="C57">
        <v>17</v>
      </c>
      <c r="D57">
        <v>1</v>
      </c>
      <c r="E57">
        <f t="shared" si="19"/>
        <v>14</v>
      </c>
    </row>
    <row r="58" spans="1:5" x14ac:dyDescent="0.2">
      <c r="A58" s="60">
        <v>43182</v>
      </c>
      <c r="B58" t="s">
        <v>28</v>
      </c>
      <c r="C58">
        <v>26</v>
      </c>
      <c r="D58">
        <v>3</v>
      </c>
      <c r="E58">
        <f t="shared" si="19"/>
        <v>19</v>
      </c>
    </row>
    <row r="59" spans="1:5" x14ac:dyDescent="0.2">
      <c r="A59" s="60">
        <v>43182</v>
      </c>
      <c r="B59" t="s">
        <v>28</v>
      </c>
      <c r="C59">
        <v>25</v>
      </c>
      <c r="D59">
        <v>4</v>
      </c>
      <c r="E59">
        <f t="shared" si="19"/>
        <v>19</v>
      </c>
    </row>
    <row r="60" spans="1:5" x14ac:dyDescent="0.2">
      <c r="A60" s="60">
        <v>43182</v>
      </c>
      <c r="B60" t="s">
        <v>28</v>
      </c>
      <c r="C60">
        <v>24</v>
      </c>
      <c r="D60">
        <v>4</v>
      </c>
      <c r="E60">
        <f t="shared" si="19"/>
        <v>19</v>
      </c>
    </row>
    <row r="61" spans="1:5" x14ac:dyDescent="0.2">
      <c r="A61" s="60">
        <v>43182</v>
      </c>
      <c r="B61" t="s">
        <v>28</v>
      </c>
      <c r="C61">
        <v>23</v>
      </c>
      <c r="D61">
        <v>4</v>
      </c>
      <c r="E61">
        <f t="shared" si="19"/>
        <v>19</v>
      </c>
    </row>
    <row r="62" spans="1:5" x14ac:dyDescent="0.2">
      <c r="A62" s="60">
        <v>43182</v>
      </c>
      <c r="B62" t="s">
        <v>37</v>
      </c>
      <c r="C62">
        <v>15</v>
      </c>
      <c r="D62">
        <v>3</v>
      </c>
      <c r="E62">
        <f t="shared" si="19"/>
        <v>16</v>
      </c>
    </row>
    <row r="63" spans="1:5" x14ac:dyDescent="0.2">
      <c r="A63" s="60">
        <v>43182</v>
      </c>
      <c r="B63" t="s">
        <v>37</v>
      </c>
      <c r="C63">
        <v>1</v>
      </c>
      <c r="D63">
        <v>3</v>
      </c>
      <c r="E63">
        <f t="shared" si="19"/>
        <v>16</v>
      </c>
    </row>
    <row r="64" spans="1:5" x14ac:dyDescent="0.2">
      <c r="A64" s="60">
        <v>43182</v>
      </c>
      <c r="B64" t="s">
        <v>37</v>
      </c>
      <c r="C64">
        <v>5</v>
      </c>
      <c r="D64">
        <v>2</v>
      </c>
      <c r="E64">
        <f t="shared" si="19"/>
        <v>16</v>
      </c>
    </row>
    <row r="65" spans="1:5" x14ac:dyDescent="0.2">
      <c r="A65" s="60">
        <v>43182</v>
      </c>
      <c r="B65" t="s">
        <v>37</v>
      </c>
      <c r="C65">
        <v>16</v>
      </c>
      <c r="D65">
        <v>2</v>
      </c>
      <c r="E65">
        <f t="shared" si="19"/>
        <v>16</v>
      </c>
    </row>
    <row r="66" spans="1:5" x14ac:dyDescent="0.2">
      <c r="A66" s="60">
        <v>43182</v>
      </c>
      <c r="B66" t="s">
        <v>83</v>
      </c>
      <c r="C66">
        <v>21</v>
      </c>
      <c r="D66">
        <v>7</v>
      </c>
      <c r="E66">
        <f t="shared" ref="E66:E97" si="20">SUMIFS(D:D,B:B, B66,A:A,"&lt;="&amp;A66)</f>
        <v>27</v>
      </c>
    </row>
    <row r="67" spans="1:5" x14ac:dyDescent="0.2">
      <c r="A67" s="60">
        <v>43182</v>
      </c>
      <c r="B67" t="s">
        <v>82</v>
      </c>
      <c r="C67">
        <v>32</v>
      </c>
      <c r="D67">
        <v>6</v>
      </c>
      <c r="E67">
        <f t="shared" si="20"/>
        <v>33</v>
      </c>
    </row>
    <row r="68" spans="1:5" x14ac:dyDescent="0.2">
      <c r="A68" s="60">
        <v>43182</v>
      </c>
      <c r="B68" t="s">
        <v>83</v>
      </c>
      <c r="C68">
        <v>19</v>
      </c>
      <c r="D68">
        <v>6</v>
      </c>
      <c r="E68">
        <f t="shared" si="20"/>
        <v>27</v>
      </c>
    </row>
    <row r="69" spans="1:5" x14ac:dyDescent="0.2">
      <c r="A69" s="60">
        <v>43182</v>
      </c>
      <c r="B69" t="s">
        <v>82</v>
      </c>
      <c r="C69">
        <v>31</v>
      </c>
      <c r="D69">
        <v>8</v>
      </c>
      <c r="E69">
        <f t="shared" si="20"/>
        <v>33</v>
      </c>
    </row>
    <row r="70" spans="1:5" x14ac:dyDescent="0.2">
      <c r="A70" s="60">
        <v>43182</v>
      </c>
      <c r="B70" t="s">
        <v>60</v>
      </c>
      <c r="C70">
        <v>12</v>
      </c>
      <c r="D70">
        <v>3</v>
      </c>
      <c r="E70">
        <f t="shared" si="20"/>
        <v>13</v>
      </c>
    </row>
    <row r="71" spans="1:5" x14ac:dyDescent="0.2">
      <c r="A71" s="60">
        <v>43182</v>
      </c>
      <c r="B71" t="s">
        <v>60</v>
      </c>
      <c r="C71">
        <v>14</v>
      </c>
      <c r="D71">
        <v>1</v>
      </c>
      <c r="E71">
        <f t="shared" si="20"/>
        <v>13</v>
      </c>
    </row>
    <row r="72" spans="1:5" x14ac:dyDescent="0.2">
      <c r="A72" s="60">
        <v>43182</v>
      </c>
      <c r="B72" t="s">
        <v>82</v>
      </c>
      <c r="C72">
        <v>29</v>
      </c>
      <c r="D72">
        <v>3</v>
      </c>
      <c r="E72">
        <f t="shared" si="20"/>
        <v>33</v>
      </c>
    </row>
    <row r="73" spans="1:5" x14ac:dyDescent="0.2">
      <c r="A73" s="60">
        <v>43182</v>
      </c>
      <c r="B73" t="s">
        <v>36</v>
      </c>
      <c r="C73">
        <v>19</v>
      </c>
      <c r="D73">
        <v>1</v>
      </c>
      <c r="E73">
        <f t="shared" si="20"/>
        <v>12</v>
      </c>
    </row>
    <row r="74" spans="1:5" x14ac:dyDescent="0.2">
      <c r="A74" s="60">
        <v>43182</v>
      </c>
      <c r="B74" t="s">
        <v>58</v>
      </c>
      <c r="C74">
        <v>7</v>
      </c>
      <c r="D74">
        <v>1</v>
      </c>
      <c r="E74">
        <f t="shared" si="20"/>
        <v>18</v>
      </c>
    </row>
    <row r="75" spans="1:5" x14ac:dyDescent="0.2">
      <c r="A75" s="60">
        <v>43182</v>
      </c>
      <c r="B75" t="s">
        <v>58</v>
      </c>
      <c r="C75">
        <v>6</v>
      </c>
      <c r="D75">
        <v>1</v>
      </c>
      <c r="E75">
        <f t="shared" si="20"/>
        <v>18</v>
      </c>
    </row>
    <row r="76" spans="1:5" x14ac:dyDescent="0.2">
      <c r="A76" s="60">
        <v>43182</v>
      </c>
      <c r="B76" t="s">
        <v>58</v>
      </c>
      <c r="C76">
        <v>2</v>
      </c>
      <c r="D76">
        <v>2</v>
      </c>
      <c r="E76">
        <f t="shared" si="20"/>
        <v>18</v>
      </c>
    </row>
    <row r="77" spans="1:5" x14ac:dyDescent="0.2">
      <c r="A77" s="60">
        <v>43182</v>
      </c>
      <c r="B77" t="s">
        <v>58</v>
      </c>
      <c r="C77">
        <v>8</v>
      </c>
      <c r="D77">
        <v>1</v>
      </c>
      <c r="E77">
        <f t="shared" si="20"/>
        <v>18</v>
      </c>
    </row>
    <row r="78" spans="1:5" x14ac:dyDescent="0.2">
      <c r="A78" s="60">
        <v>43182</v>
      </c>
      <c r="B78" t="s">
        <v>29</v>
      </c>
      <c r="C78">
        <v>18</v>
      </c>
      <c r="D78">
        <v>1</v>
      </c>
      <c r="E78">
        <f t="shared" si="20"/>
        <v>14</v>
      </c>
    </row>
    <row r="79" spans="1:5" x14ac:dyDescent="0.2">
      <c r="A79" s="60">
        <v>43182</v>
      </c>
      <c r="B79" t="s">
        <v>29</v>
      </c>
      <c r="C79">
        <v>27</v>
      </c>
      <c r="D79">
        <v>1</v>
      </c>
      <c r="E79">
        <f t="shared" si="20"/>
        <v>14</v>
      </c>
    </row>
    <row r="80" spans="1:5" x14ac:dyDescent="0.2">
      <c r="A80" s="60">
        <v>43182</v>
      </c>
      <c r="B80" t="s">
        <v>36</v>
      </c>
      <c r="C80">
        <v>9</v>
      </c>
      <c r="D80">
        <v>1</v>
      </c>
      <c r="E80">
        <f t="shared" si="20"/>
        <v>12</v>
      </c>
    </row>
    <row r="81" spans="1:6" x14ac:dyDescent="0.2">
      <c r="A81" s="60">
        <v>43182</v>
      </c>
      <c r="B81" t="s">
        <v>36</v>
      </c>
      <c r="C81">
        <v>10</v>
      </c>
      <c r="D81">
        <v>1</v>
      </c>
      <c r="E81">
        <f t="shared" si="20"/>
        <v>12</v>
      </c>
    </row>
    <row r="82" spans="1:6" x14ac:dyDescent="0.2">
      <c r="A82" s="60">
        <v>43182</v>
      </c>
      <c r="B82" t="s">
        <v>82</v>
      </c>
      <c r="C82">
        <v>30</v>
      </c>
      <c r="D82">
        <v>4</v>
      </c>
      <c r="E82">
        <f t="shared" si="20"/>
        <v>33</v>
      </c>
    </row>
    <row r="83" spans="1:6" x14ac:dyDescent="0.2">
      <c r="A83" s="60">
        <v>43182</v>
      </c>
      <c r="B83" t="s">
        <v>29</v>
      </c>
      <c r="C83">
        <v>17</v>
      </c>
      <c r="D83">
        <v>2</v>
      </c>
      <c r="E83">
        <f t="shared" si="20"/>
        <v>14</v>
      </c>
    </row>
    <row r="84" spans="1:6" x14ac:dyDescent="0.2">
      <c r="A84" s="60">
        <v>43182</v>
      </c>
      <c r="B84" t="s">
        <v>29</v>
      </c>
      <c r="C84">
        <v>28</v>
      </c>
      <c r="D84">
        <v>2</v>
      </c>
      <c r="E84">
        <f t="shared" si="20"/>
        <v>14</v>
      </c>
    </row>
    <row r="85" spans="1:6" x14ac:dyDescent="0.2">
      <c r="A85" s="60">
        <v>43182</v>
      </c>
      <c r="B85" t="s">
        <v>83</v>
      </c>
      <c r="C85">
        <v>22</v>
      </c>
      <c r="D85">
        <v>4</v>
      </c>
      <c r="E85">
        <f t="shared" si="20"/>
        <v>27</v>
      </c>
    </row>
    <row r="86" spans="1:6" x14ac:dyDescent="0.2">
      <c r="A86" s="60">
        <v>43182</v>
      </c>
      <c r="B86" t="s">
        <v>83</v>
      </c>
      <c r="C86">
        <v>20</v>
      </c>
      <c r="D86">
        <v>6</v>
      </c>
      <c r="E86">
        <f t="shared" si="20"/>
        <v>27</v>
      </c>
    </row>
    <row r="87" spans="1:6" x14ac:dyDescent="0.2">
      <c r="A87" s="60">
        <v>43184</v>
      </c>
      <c r="B87" t="s">
        <v>83</v>
      </c>
      <c r="C87">
        <v>19</v>
      </c>
      <c r="D87">
        <v>2</v>
      </c>
      <c r="E87">
        <f t="shared" si="20"/>
        <v>31</v>
      </c>
      <c r="F87">
        <f>14-D87</f>
        <v>12</v>
      </c>
    </row>
    <row r="88" spans="1:6" x14ac:dyDescent="0.2">
      <c r="A88" s="60">
        <v>43184</v>
      </c>
      <c r="B88" t="s">
        <v>83</v>
      </c>
      <c r="C88">
        <v>22</v>
      </c>
      <c r="D88">
        <v>1</v>
      </c>
      <c r="E88">
        <f t="shared" si="20"/>
        <v>31</v>
      </c>
      <c r="F88">
        <f>13-D88</f>
        <v>12</v>
      </c>
    </row>
    <row r="89" spans="1:6" x14ac:dyDescent="0.2">
      <c r="A89" s="60">
        <v>43184</v>
      </c>
      <c r="B89" t="s">
        <v>83</v>
      </c>
      <c r="C89">
        <v>20</v>
      </c>
      <c r="D89">
        <v>1</v>
      </c>
      <c r="E89">
        <f t="shared" si="20"/>
        <v>31</v>
      </c>
      <c r="F89">
        <f>16-D89</f>
        <v>15</v>
      </c>
    </row>
    <row r="90" spans="1:6" x14ac:dyDescent="0.2">
      <c r="A90" s="60">
        <v>43184</v>
      </c>
      <c r="B90" t="s">
        <v>82</v>
      </c>
      <c r="C90">
        <v>32</v>
      </c>
      <c r="D90">
        <v>1</v>
      </c>
      <c r="E90">
        <f t="shared" si="20"/>
        <v>36</v>
      </c>
      <c r="F90">
        <f>15-D90</f>
        <v>14</v>
      </c>
    </row>
    <row r="91" spans="1:6" x14ac:dyDescent="0.2">
      <c r="A91" s="60">
        <v>43184</v>
      </c>
      <c r="B91" t="s">
        <v>36</v>
      </c>
      <c r="C91">
        <v>11</v>
      </c>
      <c r="D91">
        <v>1</v>
      </c>
      <c r="E91">
        <f t="shared" si="20"/>
        <v>13</v>
      </c>
      <c r="F91">
        <f>19-D91</f>
        <v>18</v>
      </c>
    </row>
    <row r="92" spans="1:6" x14ac:dyDescent="0.2">
      <c r="A92" s="60">
        <v>43184</v>
      </c>
      <c r="B92" t="s">
        <v>37</v>
      </c>
      <c r="C92">
        <v>16</v>
      </c>
      <c r="D92">
        <v>1</v>
      </c>
      <c r="E92">
        <f t="shared" si="20"/>
        <v>17</v>
      </c>
      <c r="F92">
        <f>19-D92</f>
        <v>18</v>
      </c>
    </row>
    <row r="93" spans="1:6" x14ac:dyDescent="0.2">
      <c r="A93" s="60">
        <v>43184</v>
      </c>
      <c r="B93" t="s">
        <v>60</v>
      </c>
      <c r="C93">
        <v>12</v>
      </c>
      <c r="D93">
        <v>1</v>
      </c>
      <c r="E93">
        <f t="shared" si="20"/>
        <v>14</v>
      </c>
      <c r="F93">
        <f>18-D93</f>
        <v>17</v>
      </c>
    </row>
    <row r="94" spans="1:6" x14ac:dyDescent="0.2">
      <c r="A94" s="60">
        <v>43184</v>
      </c>
      <c r="B94" t="s">
        <v>28</v>
      </c>
      <c r="C94">
        <v>23</v>
      </c>
      <c r="D94">
        <v>2</v>
      </c>
      <c r="E94">
        <f t="shared" si="20"/>
        <v>21</v>
      </c>
      <c r="F94">
        <f>18-D94</f>
        <v>16</v>
      </c>
    </row>
    <row r="95" spans="1:6" x14ac:dyDescent="0.2">
      <c r="A95" s="60">
        <v>43184</v>
      </c>
      <c r="B95" t="s">
        <v>82</v>
      </c>
      <c r="C95">
        <v>29</v>
      </c>
      <c r="D95">
        <v>2</v>
      </c>
      <c r="E95">
        <f t="shared" si="20"/>
        <v>36</v>
      </c>
      <c r="F95">
        <f>19-D95</f>
        <v>17</v>
      </c>
    </row>
    <row r="96" spans="1:6" x14ac:dyDescent="0.2">
      <c r="A96" s="60">
        <v>43186</v>
      </c>
      <c r="B96" t="s">
        <v>83</v>
      </c>
      <c r="C96">
        <v>19</v>
      </c>
      <c r="D96">
        <v>1</v>
      </c>
      <c r="E96">
        <f t="shared" si="20"/>
        <v>35</v>
      </c>
      <c r="F96">
        <f>F87-D96</f>
        <v>11</v>
      </c>
    </row>
    <row r="97" spans="1:6" x14ac:dyDescent="0.2">
      <c r="A97" s="60">
        <v>43186</v>
      </c>
      <c r="B97" t="s">
        <v>83</v>
      </c>
      <c r="C97">
        <v>21</v>
      </c>
      <c r="D97">
        <v>1</v>
      </c>
      <c r="E97">
        <f t="shared" si="20"/>
        <v>35</v>
      </c>
      <c r="F97">
        <f>15-D97</f>
        <v>14</v>
      </c>
    </row>
    <row r="98" spans="1:6" x14ac:dyDescent="0.2">
      <c r="A98" s="60">
        <v>43186</v>
      </c>
      <c r="B98" t="s">
        <v>82</v>
      </c>
      <c r="C98">
        <v>30</v>
      </c>
      <c r="D98">
        <v>1</v>
      </c>
      <c r="E98">
        <f t="shared" ref="E98:E129" si="21">SUMIFS(D:D,B:B, B98,A:A,"&lt;="&amp;A98)</f>
        <v>38</v>
      </c>
      <c r="F98">
        <f>15-D98</f>
        <v>14</v>
      </c>
    </row>
    <row r="99" spans="1:6" x14ac:dyDescent="0.2">
      <c r="A99" s="60">
        <v>43186</v>
      </c>
      <c r="B99" t="s">
        <v>82</v>
      </c>
      <c r="C99">
        <v>32</v>
      </c>
      <c r="D99">
        <v>1</v>
      </c>
      <c r="E99">
        <f t="shared" si="21"/>
        <v>38</v>
      </c>
      <c r="F99">
        <f>F90-D99</f>
        <v>13</v>
      </c>
    </row>
    <row r="100" spans="1:6" x14ac:dyDescent="0.2">
      <c r="A100" s="60">
        <v>43186</v>
      </c>
      <c r="B100" t="s">
        <v>37</v>
      </c>
      <c r="C100">
        <v>16</v>
      </c>
      <c r="D100">
        <v>1</v>
      </c>
      <c r="E100">
        <f t="shared" si="21"/>
        <v>20</v>
      </c>
      <c r="F100">
        <f>F92-D100</f>
        <v>17</v>
      </c>
    </row>
    <row r="101" spans="1:6" x14ac:dyDescent="0.2">
      <c r="A101" s="60">
        <v>43186</v>
      </c>
      <c r="B101" t="s">
        <v>37</v>
      </c>
      <c r="C101">
        <v>15</v>
      </c>
      <c r="D101">
        <v>2</v>
      </c>
      <c r="E101">
        <f t="shared" si="21"/>
        <v>20</v>
      </c>
      <c r="F101">
        <f>19-D101</f>
        <v>17</v>
      </c>
    </row>
    <row r="102" spans="1:6" x14ac:dyDescent="0.2">
      <c r="A102" s="60">
        <v>43186</v>
      </c>
      <c r="B102" t="s">
        <v>28</v>
      </c>
      <c r="C102">
        <v>24</v>
      </c>
      <c r="D102">
        <v>1</v>
      </c>
      <c r="E102">
        <f t="shared" si="21"/>
        <v>22</v>
      </c>
      <c r="F102">
        <f>20-D102</f>
        <v>19</v>
      </c>
    </row>
    <row r="103" spans="1:6" x14ac:dyDescent="0.2">
      <c r="A103" s="60">
        <v>43186</v>
      </c>
      <c r="B103" t="s">
        <v>83</v>
      </c>
      <c r="C103">
        <v>22</v>
      </c>
      <c r="D103">
        <v>2</v>
      </c>
      <c r="E103">
        <f t="shared" si="21"/>
        <v>35</v>
      </c>
      <c r="F103">
        <f>F88-D103</f>
        <v>10</v>
      </c>
    </row>
    <row r="104" spans="1:6" x14ac:dyDescent="0.2">
      <c r="A104" s="60">
        <v>43186</v>
      </c>
      <c r="B104" t="s">
        <v>29</v>
      </c>
      <c r="C104">
        <v>18</v>
      </c>
      <c r="D104">
        <v>1</v>
      </c>
      <c r="E104">
        <f t="shared" si="21"/>
        <v>15</v>
      </c>
      <c r="F104">
        <f>18-D104</f>
        <v>17</v>
      </c>
    </row>
    <row r="105" spans="1:6" x14ac:dyDescent="0.2">
      <c r="A105" s="60">
        <v>43189</v>
      </c>
      <c r="B105" t="s">
        <v>28</v>
      </c>
      <c r="C105">
        <v>25</v>
      </c>
      <c r="D105">
        <v>1</v>
      </c>
      <c r="E105">
        <f t="shared" si="21"/>
        <v>25</v>
      </c>
      <c r="F105">
        <f>19-D105</f>
        <v>18</v>
      </c>
    </row>
    <row r="106" spans="1:6" x14ac:dyDescent="0.2">
      <c r="A106" s="60">
        <v>43189</v>
      </c>
      <c r="B106" t="s">
        <v>28</v>
      </c>
      <c r="C106">
        <v>23</v>
      </c>
      <c r="D106">
        <v>1</v>
      </c>
      <c r="E106">
        <f t="shared" si="21"/>
        <v>25</v>
      </c>
      <c r="F106">
        <f>F94-D106</f>
        <v>15</v>
      </c>
    </row>
    <row r="107" spans="1:6" x14ac:dyDescent="0.2">
      <c r="A107" s="60">
        <v>43189</v>
      </c>
      <c r="B107" t="s">
        <v>36</v>
      </c>
      <c r="C107">
        <v>10</v>
      </c>
      <c r="D107">
        <v>1</v>
      </c>
      <c r="E107">
        <f t="shared" si="21"/>
        <v>14</v>
      </c>
      <c r="F107">
        <f>20-D107</f>
        <v>19</v>
      </c>
    </row>
    <row r="108" spans="1:6" x14ac:dyDescent="0.2">
      <c r="A108" s="60">
        <v>43189</v>
      </c>
      <c r="B108" t="s">
        <v>37</v>
      </c>
      <c r="C108">
        <v>1</v>
      </c>
      <c r="D108">
        <v>1</v>
      </c>
      <c r="E108">
        <f t="shared" si="21"/>
        <v>21</v>
      </c>
      <c r="F108">
        <f>19-D108</f>
        <v>18</v>
      </c>
    </row>
    <row r="109" spans="1:6" x14ac:dyDescent="0.2">
      <c r="A109" s="60">
        <v>43189</v>
      </c>
      <c r="B109" t="s">
        <v>82</v>
      </c>
      <c r="C109">
        <v>31</v>
      </c>
      <c r="D109">
        <v>1</v>
      </c>
      <c r="E109">
        <f t="shared" si="21"/>
        <v>39</v>
      </c>
      <c r="F109">
        <f>15-D109</f>
        <v>14</v>
      </c>
    </row>
    <row r="110" spans="1:6" x14ac:dyDescent="0.2">
      <c r="A110" s="60">
        <v>43189</v>
      </c>
      <c r="B110" t="s">
        <v>28</v>
      </c>
      <c r="C110">
        <v>26</v>
      </c>
      <c r="D110">
        <v>1</v>
      </c>
      <c r="E110">
        <f t="shared" si="21"/>
        <v>25</v>
      </c>
      <c r="F110">
        <f>17-D110</f>
        <v>16</v>
      </c>
    </row>
    <row r="111" spans="1:6" x14ac:dyDescent="0.2">
      <c r="A111" s="60">
        <v>43189</v>
      </c>
      <c r="B111" t="s">
        <v>83</v>
      </c>
      <c r="C111">
        <v>22</v>
      </c>
      <c r="D111">
        <v>2</v>
      </c>
      <c r="E111">
        <f t="shared" si="21"/>
        <v>38</v>
      </c>
      <c r="F111">
        <f>F103-D111</f>
        <v>8</v>
      </c>
    </row>
    <row r="112" spans="1:6" x14ac:dyDescent="0.2">
      <c r="A112" s="60">
        <v>43189</v>
      </c>
      <c r="B112" t="s">
        <v>83</v>
      </c>
      <c r="C112">
        <v>19</v>
      </c>
      <c r="D112">
        <v>1</v>
      </c>
      <c r="E112">
        <f t="shared" si="21"/>
        <v>38</v>
      </c>
      <c r="F112">
        <f>F96-D112</f>
        <v>10</v>
      </c>
    </row>
    <row r="113" spans="1:6" x14ac:dyDescent="0.2">
      <c r="A113" s="60">
        <v>43189</v>
      </c>
      <c r="B113" t="s">
        <v>58</v>
      </c>
      <c r="C113">
        <v>8</v>
      </c>
      <c r="D113">
        <v>1</v>
      </c>
      <c r="E113">
        <f t="shared" si="21"/>
        <v>19</v>
      </c>
      <c r="F113">
        <f>18-D113</f>
        <v>17</v>
      </c>
    </row>
    <row r="114" spans="1:6" x14ac:dyDescent="0.2">
      <c r="A114" s="60">
        <v>43193</v>
      </c>
      <c r="B114" t="s">
        <v>28</v>
      </c>
      <c r="C114">
        <v>24</v>
      </c>
      <c r="D114">
        <v>3</v>
      </c>
      <c r="E114">
        <f t="shared" si="21"/>
        <v>29</v>
      </c>
      <c r="F114">
        <f>F102-D114</f>
        <v>16</v>
      </c>
    </row>
    <row r="115" spans="1:6" x14ac:dyDescent="0.2">
      <c r="A115" s="60">
        <v>43193</v>
      </c>
      <c r="B115" t="s">
        <v>28</v>
      </c>
      <c r="C115">
        <v>16</v>
      </c>
      <c r="D115">
        <v>1</v>
      </c>
      <c r="E115">
        <f t="shared" si="21"/>
        <v>29</v>
      </c>
      <c r="F115">
        <f>F100-D115</f>
        <v>16</v>
      </c>
    </row>
    <row r="116" spans="1:6" x14ac:dyDescent="0.2">
      <c r="A116" s="60">
        <v>43193</v>
      </c>
      <c r="B116" t="s">
        <v>29</v>
      </c>
      <c r="C116">
        <v>17</v>
      </c>
      <c r="D116">
        <v>1</v>
      </c>
      <c r="E116">
        <f t="shared" si="21"/>
        <v>16</v>
      </c>
      <c r="F116">
        <f>18-D116</f>
        <v>17</v>
      </c>
    </row>
    <row r="117" spans="1:6" x14ac:dyDescent="0.2">
      <c r="A117" s="60">
        <v>43193</v>
      </c>
      <c r="B117" t="s">
        <v>36</v>
      </c>
      <c r="C117">
        <v>9</v>
      </c>
      <c r="D117">
        <v>1</v>
      </c>
      <c r="E117">
        <f t="shared" si="21"/>
        <v>15</v>
      </c>
      <c r="F117">
        <f>22-D117</f>
        <v>21</v>
      </c>
    </row>
    <row r="118" spans="1:6" x14ac:dyDescent="0.2">
      <c r="A118" s="60">
        <v>43193</v>
      </c>
      <c r="B118" t="s">
        <v>82</v>
      </c>
      <c r="C118">
        <v>31</v>
      </c>
      <c r="D118">
        <v>1</v>
      </c>
      <c r="E118">
        <f t="shared" si="21"/>
        <v>40</v>
      </c>
      <c r="F118">
        <f>15-D118</f>
        <v>14</v>
      </c>
    </row>
    <row r="119" spans="1:6" x14ac:dyDescent="0.2">
      <c r="A119" s="60">
        <v>43193</v>
      </c>
      <c r="B119" t="s">
        <v>83</v>
      </c>
      <c r="C119">
        <v>22</v>
      </c>
      <c r="D119">
        <v>1</v>
      </c>
      <c r="E119">
        <f t="shared" si="21"/>
        <v>41</v>
      </c>
      <c r="F119">
        <f>F111-D119</f>
        <v>7</v>
      </c>
    </row>
    <row r="120" spans="1:6" x14ac:dyDescent="0.2">
      <c r="A120" s="60">
        <v>43193</v>
      </c>
      <c r="B120" t="s">
        <v>83</v>
      </c>
      <c r="C120">
        <v>19</v>
      </c>
      <c r="D120">
        <v>2</v>
      </c>
      <c r="E120">
        <f t="shared" si="21"/>
        <v>41</v>
      </c>
      <c r="F120">
        <f>F112-D120</f>
        <v>8</v>
      </c>
    </row>
    <row r="121" spans="1:6" x14ac:dyDescent="0.2">
      <c r="A121" s="60">
        <v>43198</v>
      </c>
      <c r="B121" t="s">
        <v>37</v>
      </c>
      <c r="C121">
        <v>16</v>
      </c>
      <c r="D121">
        <v>1</v>
      </c>
      <c r="E121">
        <f t="shared" si="21"/>
        <v>22</v>
      </c>
      <c r="F121">
        <f>F115-D121</f>
        <v>15</v>
      </c>
    </row>
    <row r="122" spans="1:6" x14ac:dyDescent="0.2">
      <c r="A122" s="60">
        <v>43198</v>
      </c>
      <c r="B122" t="s">
        <v>83</v>
      </c>
      <c r="C122">
        <v>20</v>
      </c>
      <c r="D122">
        <v>1</v>
      </c>
      <c r="E122">
        <f t="shared" si="21"/>
        <v>43</v>
      </c>
      <c r="F122">
        <f>F89-D122</f>
        <v>14</v>
      </c>
    </row>
    <row r="123" spans="1:6" x14ac:dyDescent="0.2">
      <c r="A123" s="60">
        <v>43198</v>
      </c>
      <c r="B123" t="s">
        <v>83</v>
      </c>
      <c r="C123">
        <v>22</v>
      </c>
      <c r="D123">
        <v>1</v>
      </c>
      <c r="E123">
        <f t="shared" si="21"/>
        <v>43</v>
      </c>
      <c r="F123">
        <f>F119-D123</f>
        <v>6</v>
      </c>
    </row>
    <row r="124" spans="1:6" x14ac:dyDescent="0.2">
      <c r="A124" s="60">
        <v>43204</v>
      </c>
      <c r="B124" t="s">
        <v>82</v>
      </c>
      <c r="C124">
        <v>29</v>
      </c>
      <c r="D124">
        <v>1</v>
      </c>
      <c r="E124">
        <f t="shared" si="21"/>
        <v>41</v>
      </c>
      <c r="F124">
        <f>F95-D124</f>
        <v>16</v>
      </c>
    </row>
    <row r="125" spans="1:6" x14ac:dyDescent="0.2">
      <c r="A125" s="60">
        <v>43204</v>
      </c>
      <c r="B125" t="s">
        <v>36</v>
      </c>
      <c r="C125">
        <v>11</v>
      </c>
      <c r="D125">
        <v>1</v>
      </c>
      <c r="E125">
        <f t="shared" si="21"/>
        <v>16</v>
      </c>
      <c r="F125">
        <f>F91-D125</f>
        <v>17</v>
      </c>
    </row>
    <row r="126" spans="1:6" x14ac:dyDescent="0.2">
      <c r="A126" s="60">
        <v>43204</v>
      </c>
      <c r="B126" t="s">
        <v>37</v>
      </c>
      <c r="C126">
        <v>15</v>
      </c>
      <c r="D126">
        <v>1</v>
      </c>
      <c r="E126">
        <f t="shared" si="21"/>
        <v>23</v>
      </c>
      <c r="F126">
        <f>F101-D126</f>
        <v>16</v>
      </c>
    </row>
    <row r="127" spans="1:6" x14ac:dyDescent="0.2">
      <c r="A127" s="60">
        <v>43207</v>
      </c>
      <c r="B127" t="s">
        <v>60</v>
      </c>
      <c r="C127">
        <v>12</v>
      </c>
      <c r="D127">
        <v>1</v>
      </c>
      <c r="E127">
        <f t="shared" si="21"/>
        <v>15</v>
      </c>
      <c r="F127">
        <f>F93-D127</f>
        <v>16</v>
      </c>
    </row>
    <row r="128" spans="1:6" x14ac:dyDescent="0.2">
      <c r="A128" s="60">
        <v>43207</v>
      </c>
      <c r="B128" t="s">
        <v>28</v>
      </c>
      <c r="C128">
        <v>24</v>
      </c>
      <c r="D128">
        <v>2</v>
      </c>
      <c r="E128">
        <f t="shared" si="21"/>
        <v>31</v>
      </c>
      <c r="F128">
        <f>F114-D128</f>
        <v>14</v>
      </c>
    </row>
    <row r="129" spans="1:6" x14ac:dyDescent="0.2">
      <c r="A129" s="60">
        <v>43212</v>
      </c>
      <c r="B129" t="s">
        <v>82</v>
      </c>
      <c r="C129">
        <v>29</v>
      </c>
      <c r="D129">
        <v>2</v>
      </c>
      <c r="E129">
        <f t="shared" si="21"/>
        <v>43</v>
      </c>
      <c r="F129">
        <f>F124-D129</f>
        <v>14</v>
      </c>
    </row>
    <row r="130" spans="1:6" x14ac:dyDescent="0.2">
      <c r="A130" s="60">
        <v>43212</v>
      </c>
      <c r="B130" t="s">
        <v>36</v>
      </c>
      <c r="C130">
        <v>10</v>
      </c>
      <c r="D130">
        <v>1</v>
      </c>
      <c r="E130">
        <f t="shared" ref="E130:E133" si="22">SUMIFS(D:D,B:B, B130,A:A,"&lt;="&amp;A130)</f>
        <v>17</v>
      </c>
      <c r="F130">
        <f>F107-D130</f>
        <v>18</v>
      </c>
    </row>
    <row r="131" spans="1:6" x14ac:dyDescent="0.2">
      <c r="A131" s="60">
        <v>43212</v>
      </c>
      <c r="B131" t="s">
        <v>29</v>
      </c>
      <c r="C131">
        <v>18</v>
      </c>
      <c r="D131">
        <v>1</v>
      </c>
      <c r="E131">
        <f t="shared" si="22"/>
        <v>17</v>
      </c>
      <c r="F131">
        <f>F104-D131</f>
        <v>16</v>
      </c>
    </row>
    <row r="132" spans="1:6" x14ac:dyDescent="0.2">
      <c r="A132" s="60">
        <v>43217</v>
      </c>
      <c r="B132" t="s">
        <v>60</v>
      </c>
      <c r="C132">
        <v>14</v>
      </c>
      <c r="D132">
        <v>1</v>
      </c>
      <c r="E132">
        <f t="shared" si="22"/>
        <v>16</v>
      </c>
      <c r="F132">
        <f>19-D132</f>
        <v>18</v>
      </c>
    </row>
    <row r="133" spans="1:6" x14ac:dyDescent="0.2">
      <c r="A133" s="60">
        <v>43217</v>
      </c>
      <c r="B133" t="s">
        <v>36</v>
      </c>
      <c r="C133">
        <v>9</v>
      </c>
      <c r="D133">
        <v>2</v>
      </c>
      <c r="E133">
        <f t="shared" si="22"/>
        <v>19</v>
      </c>
      <c r="F133">
        <f>F117-D133</f>
        <v>19</v>
      </c>
    </row>
  </sheetData>
  <sortState xmlns:xlrd2="http://schemas.microsoft.com/office/spreadsheetml/2017/richdata2"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showRuler="0" workbookViewId="0">
      <selection activeCell="G33" sqref="G32:G33"/>
    </sheetView>
  </sheetViews>
  <sheetFormatPr baseColWidth="10" defaultRowHeight="16" x14ac:dyDescent="0.2"/>
  <cols>
    <col min="2" max="2" width="10.83203125" style="64"/>
    <col min="4" max="4" width="18" hidden="1" customWidth="1"/>
    <col min="5" max="5" width="14.33203125" hidden="1" customWidth="1"/>
    <col min="6" max="6" width="12.33203125" hidden="1" customWidth="1"/>
    <col min="7" max="7" width="12.5" customWidth="1"/>
  </cols>
  <sheetData>
    <row r="1" spans="1:7" s="91" customFormat="1" ht="51" x14ac:dyDescent="0.2">
      <c r="A1" s="91" t="s">
        <v>0</v>
      </c>
      <c r="B1" s="92" t="s">
        <v>1</v>
      </c>
      <c r="C1" s="91" t="s">
        <v>80</v>
      </c>
      <c r="D1" s="91" t="s">
        <v>125</v>
      </c>
      <c r="E1" s="91" t="s">
        <v>126</v>
      </c>
      <c r="F1" s="91" t="s">
        <v>128</v>
      </c>
      <c r="G1" s="91" t="s">
        <v>127</v>
      </c>
    </row>
    <row r="2" spans="1:7" x14ac:dyDescent="0.2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 x14ac:dyDescent="0.2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 x14ac:dyDescent="0.2">
      <c r="A4" s="60">
        <v>43198</v>
      </c>
      <c r="B4" s="64" t="s">
        <v>83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 x14ac:dyDescent="0.2">
      <c r="A5" s="60">
        <v>43198</v>
      </c>
      <c r="B5" s="64" t="s">
        <v>83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 x14ac:dyDescent="0.2">
      <c r="A6" s="60">
        <v>43198</v>
      </c>
      <c r="B6" s="64" t="s">
        <v>60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 x14ac:dyDescent="0.2">
      <c r="A7" s="60">
        <v>43198</v>
      </c>
      <c r="B7" s="64" t="s">
        <v>60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 x14ac:dyDescent="0.2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 x14ac:dyDescent="0.2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 x14ac:dyDescent="0.2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 x14ac:dyDescent="0.2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 x14ac:dyDescent="0.2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 x14ac:dyDescent="0.2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 x14ac:dyDescent="0.2">
      <c r="A14" s="60">
        <v>43198</v>
      </c>
      <c r="B14" s="64" t="s">
        <v>83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 x14ac:dyDescent="0.2">
      <c r="A15" s="60">
        <v>43198</v>
      </c>
      <c r="B15" s="64" t="s">
        <v>83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 x14ac:dyDescent="0.2">
      <c r="A16" s="60">
        <v>43198</v>
      </c>
      <c r="B16" s="64" t="s">
        <v>60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 x14ac:dyDescent="0.2">
      <c r="A17" s="60">
        <v>43198</v>
      </c>
      <c r="B17" s="64" t="s">
        <v>60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 x14ac:dyDescent="0.2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 x14ac:dyDescent="0.2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 x14ac:dyDescent="0.2">
      <c r="A20" s="60">
        <v>43198</v>
      </c>
      <c r="B20" s="90" t="s">
        <v>58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 x14ac:dyDescent="0.2">
      <c r="A21" s="60">
        <v>43198</v>
      </c>
      <c r="B21" s="90" t="s">
        <v>58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 x14ac:dyDescent="0.2">
      <c r="A22" s="60">
        <v>43198</v>
      </c>
      <c r="B22" s="64" t="s">
        <v>82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 x14ac:dyDescent="0.2">
      <c r="A23" s="60">
        <v>43198</v>
      </c>
      <c r="B23" s="64" t="s">
        <v>82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 x14ac:dyDescent="0.2">
      <c r="A24" s="60">
        <v>43198</v>
      </c>
      <c r="B24" s="64" t="s">
        <v>58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 x14ac:dyDescent="0.2">
      <c r="A25" s="60">
        <v>43198</v>
      </c>
      <c r="B25" s="64" t="s">
        <v>58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 x14ac:dyDescent="0.2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 x14ac:dyDescent="0.2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 x14ac:dyDescent="0.2">
      <c r="A28" s="60">
        <v>43198</v>
      </c>
      <c r="B28" s="64" t="s">
        <v>82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 x14ac:dyDescent="0.2">
      <c r="A29" s="60">
        <v>43198</v>
      </c>
      <c r="B29" s="64" t="s">
        <v>82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 x14ac:dyDescent="0.2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 x14ac:dyDescent="0.2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 x14ac:dyDescent="0.2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 x14ac:dyDescent="0.2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 x14ac:dyDescent="0.2">
      <c r="A34" s="60">
        <v>43204</v>
      </c>
      <c r="B34" s="64" t="s">
        <v>82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 x14ac:dyDescent="0.2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 x14ac:dyDescent="0.2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 x14ac:dyDescent="0.2">
      <c r="A37" s="60">
        <v>43207</v>
      </c>
      <c r="B37" s="64" t="s">
        <v>60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 x14ac:dyDescent="0.2">
      <c r="A38" s="60">
        <v>43207</v>
      </c>
      <c r="B38" s="64" t="s">
        <v>60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 x14ac:dyDescent="0.2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 x14ac:dyDescent="0.2">
      <c r="A40" s="60">
        <v>43212</v>
      </c>
      <c r="B40" s="64" t="s">
        <v>82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 x14ac:dyDescent="0.2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 x14ac:dyDescent="0.2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 x14ac:dyDescent="0.2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 x14ac:dyDescent="0.2">
      <c r="A44" s="60">
        <v>43217</v>
      </c>
      <c r="B44" s="64" t="s">
        <v>60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 x14ac:dyDescent="0.2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showRuler="0" topLeftCell="B1" workbookViewId="0">
      <selection activeCell="H18" sqref="H18"/>
    </sheetView>
  </sheetViews>
  <sheetFormatPr baseColWidth="10" defaultRowHeight="16" x14ac:dyDescent="0.2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9" x14ac:dyDescent="0.25">
      <c r="A1" s="63"/>
      <c r="B1" s="61"/>
      <c r="C1" s="5" t="s">
        <v>91</v>
      </c>
      <c r="D1" s="5" t="s">
        <v>139</v>
      </c>
      <c r="E1" s="5" t="s">
        <v>92</v>
      </c>
      <c r="F1" s="5" t="s">
        <v>138</v>
      </c>
      <c r="G1" s="5" t="s">
        <v>137</v>
      </c>
      <c r="H1" s="5" t="s">
        <v>140</v>
      </c>
      <c r="I1" s="97"/>
      <c r="J1" s="43" t="s">
        <v>21</v>
      </c>
      <c r="K1" s="100" t="s">
        <v>1</v>
      </c>
      <c r="L1" s="5" t="s">
        <v>91</v>
      </c>
      <c r="M1" s="91" t="s">
        <v>203</v>
      </c>
      <c r="N1" s="91" t="s">
        <v>193</v>
      </c>
      <c r="O1" s="91" t="s">
        <v>143</v>
      </c>
      <c r="P1" s="91" t="s">
        <v>144</v>
      </c>
      <c r="Q1" s="91" t="s">
        <v>204</v>
      </c>
      <c r="R1" s="91" t="s">
        <v>201</v>
      </c>
      <c r="S1" s="91" t="s">
        <v>202</v>
      </c>
      <c r="T1" s="91" t="s">
        <v>205</v>
      </c>
    </row>
    <row r="2" spans="1:20" ht="19" x14ac:dyDescent="0.25">
      <c r="A2" s="171" t="s">
        <v>37</v>
      </c>
      <c r="B2" s="172" t="s">
        <v>87</v>
      </c>
      <c r="C2" s="174">
        <f>SUMIF('Larvae Collection'!B:B,SUMMARIES!A2,'Larvae Collection'!R:R)</f>
        <v>9149355.1587301586</v>
      </c>
      <c r="D2" s="177">
        <f>SUM('Broodstock volume, numbers'!G2:G3,'Broodstock volume, numbers'!G12:G13)</f>
        <v>66</v>
      </c>
      <c r="E2" s="173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Collection'!D:D,SUMMARIES!J2,'Larvae Collection'!R:R)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9" x14ac:dyDescent="0.25">
      <c r="A3" s="171" t="s">
        <v>28</v>
      </c>
      <c r="B3" s="172" t="s">
        <v>87</v>
      </c>
      <c r="C3" s="174">
        <f>SUMIF('Larvae Collection'!B:B,SUMMARIES!A3,'Larvae Collection'!R:R)</f>
        <v>4911121.5079365075</v>
      </c>
      <c r="D3" s="177">
        <f>SUM('Broodstock volume, numbers'!G18:G19,'Broodstock volume, numbers'!G30:G31)</f>
        <v>59</v>
      </c>
      <c r="E3" s="173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67</v>
      </c>
      <c r="K3" s="109" t="s">
        <v>37</v>
      </c>
      <c r="L3" s="110">
        <f>SUMIF('Larvae Collection'!D:D,SUMMARIES!J3,'Larvae Collection'!R:R)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9" x14ac:dyDescent="0.25">
      <c r="A4" s="171" t="s">
        <v>29</v>
      </c>
      <c r="B4" s="172" t="s">
        <v>88</v>
      </c>
      <c r="C4" s="174">
        <f>SUMIF('Larvae Collection'!B:B,SUMMARIES!A4,'Larvae Collection'!R:R)</f>
        <v>7118026.2698412687</v>
      </c>
      <c r="D4" s="177">
        <f>SUM('Broodstock volume, numbers'!G26:G27,'Broodstock volume, numbers'!G32:G33)</f>
        <v>67</v>
      </c>
      <c r="E4" s="173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68</v>
      </c>
      <c r="K4" s="109" t="s">
        <v>28</v>
      </c>
      <c r="L4" s="110">
        <f>SUMIF('Larvae Collection'!D:D,SUMMARIES!J4,'Larvae Collection'!R:R)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9" x14ac:dyDescent="0.25">
      <c r="A5" s="171" t="s">
        <v>36</v>
      </c>
      <c r="B5" s="172" t="s">
        <v>88</v>
      </c>
      <c r="C5" s="174">
        <f>SUMIF('Larvae Collection'!B:B,SUMMARIES!A5,'Larvae Collection'!R:R)</f>
        <v>7834791.1111111091</v>
      </c>
      <c r="D5" s="177">
        <f>SUM('Broodstock volume, numbers'!G8:G11)</f>
        <v>73</v>
      </c>
      <c r="E5" s="173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77</v>
      </c>
      <c r="K5" s="109" t="s">
        <v>28</v>
      </c>
      <c r="L5" s="110">
        <f>SUMIF('Larvae Collection'!D:D,SUMMARIES!J5,'Larvae Collection'!R:R)</f>
        <v>1198967.6190476192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7052.7507002801131</v>
      </c>
      <c r="P5" s="110">
        <f t="shared" si="4"/>
        <v>42820.272108843543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9" x14ac:dyDescent="0.25">
      <c r="A6" s="171" t="s">
        <v>82</v>
      </c>
      <c r="B6" s="172" t="s">
        <v>89</v>
      </c>
      <c r="C6" s="174">
        <f>SUMIF('Larvae Collection'!B:B,SUMMARIES!A6,'Larvae Collection'!R:R)</f>
        <v>5558398.888888889</v>
      </c>
      <c r="D6" s="177">
        <f>SUM('Broodstock volume, numbers'!G22:G23,'Broodstock volume, numbers'!G28:G29)</f>
        <v>51</v>
      </c>
      <c r="E6" s="173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61</v>
      </c>
      <c r="K6" s="113" t="s">
        <v>29</v>
      </c>
      <c r="L6" s="114">
        <f>SUMIF('Larvae Collection'!D:D,SUMMARIES!J6,'Larvae Collection'!R:R)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9" x14ac:dyDescent="0.25">
      <c r="A7" s="171" t="s">
        <v>83</v>
      </c>
      <c r="B7" s="172" t="s">
        <v>89</v>
      </c>
      <c r="C7" s="174">
        <f>SUMIF('Larvae Collection'!B:B,SUMMARIES!A7,'Larvae Collection'!R:R)</f>
        <v>3535223.055555555</v>
      </c>
      <c r="D7" s="177">
        <f>SUM('Broodstock volume, numbers'!G4:G5,'Broodstock volume, numbers'!G14:G15)</f>
        <v>38</v>
      </c>
      <c r="E7" s="173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119</v>
      </c>
      <c r="K7" s="113" t="s">
        <v>29</v>
      </c>
      <c r="L7" s="114">
        <f>SUMIF('Larvae Collection'!D:D,SUMMARIES!J7,'Larvae Collection'!R:R)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9" x14ac:dyDescent="0.25">
      <c r="A8" s="171" t="s">
        <v>60</v>
      </c>
      <c r="B8" s="172" t="s">
        <v>90</v>
      </c>
      <c r="C8" s="174">
        <f>SUMIF('Larvae Collection'!B:B,SUMMARIES!A8,'Larvae Collection'!R:R)</f>
        <v>6628705.7142857136</v>
      </c>
      <c r="D8" s="177">
        <f>SUM('Broodstock volume, numbers'!G6:G7,'Broodstock volume, numbers'!G16:G17)</f>
        <v>71</v>
      </c>
      <c r="E8" s="173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Collection'!D:D,SUMMARIES!J8,'Larvae Collection'!R:R)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9" x14ac:dyDescent="0.25">
      <c r="A9" s="171" t="s">
        <v>58</v>
      </c>
      <c r="B9" s="172" t="s">
        <v>90</v>
      </c>
      <c r="C9" s="174">
        <f>SUMIF('Larvae Collection'!B:B,SUMMARIES!A9,'Larvae Collection'!R:R)</f>
        <v>6862121.666666667</v>
      </c>
      <c r="D9" s="177">
        <f>SUM('Broodstock volume, numbers'!G20:G21,'Broodstock volume, numbers'!G24:G25)</f>
        <v>67</v>
      </c>
      <c r="E9" s="173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Collection'!D:D,SUMMARIES!J9,'Larvae Collection'!R:R)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9" x14ac:dyDescent="0.25">
      <c r="A10" s="175"/>
      <c r="B10" s="158" t="s">
        <v>208</v>
      </c>
      <c r="C10" s="176">
        <f>SUM(C2:C9)</f>
        <v>51597743.373015866</v>
      </c>
      <c r="D10" s="157">
        <f>SUM(D2:D9)</f>
        <v>492</v>
      </c>
      <c r="E10" s="157">
        <f>SUM(E2:E9)</f>
        <v>211</v>
      </c>
      <c r="J10" s="120" t="s">
        <v>113</v>
      </c>
      <c r="K10" s="121" t="s">
        <v>82</v>
      </c>
      <c r="L10" s="122">
        <f>SUMIF('Larvae Collection'!D:D,SUMMARIES!J10,'Larvae Collection'!R:R)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 x14ac:dyDescent="0.2">
      <c r="J11" s="120" t="s">
        <v>94</v>
      </c>
      <c r="K11" s="121" t="s">
        <v>82</v>
      </c>
      <c r="L11" s="122">
        <f>SUMIF('Larvae Collection'!D:D,SUMMARIES!J11,'Larvae Collection'!R:R)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 x14ac:dyDescent="0.2">
      <c r="J12" s="120" t="s">
        <v>95</v>
      </c>
      <c r="K12" s="121" t="s">
        <v>83</v>
      </c>
      <c r="L12" s="122">
        <f>SUMIF('Larvae Collection'!D:D,SUMMARIES!J12,'Larvae Collection'!R:R)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 x14ac:dyDescent="0.2">
      <c r="J13" s="120" t="s">
        <v>96</v>
      </c>
      <c r="K13" s="121" t="s">
        <v>83</v>
      </c>
      <c r="L13" s="122">
        <f>SUMIF('Larvae Collection'!D:D,SUMMARIES!J13,'Larvae Collection'!R:R)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 x14ac:dyDescent="0.2">
      <c r="J14" s="116" t="s">
        <v>65</v>
      </c>
      <c r="K14" s="117" t="s">
        <v>60</v>
      </c>
      <c r="L14" s="118">
        <f>SUMIF('Larvae Collection'!D:D,SUMMARIES!J14,'Larvae Collection'!R:R)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 x14ac:dyDescent="0.2">
      <c r="J15" s="116" t="s">
        <v>66</v>
      </c>
      <c r="K15" s="117" t="s">
        <v>60</v>
      </c>
      <c r="L15" s="118">
        <f>SUMIF('Larvae Collection'!D:D,SUMMARIES!J15,'Larvae Collection'!R:R)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 x14ac:dyDescent="0.2">
      <c r="J16" s="116" t="s">
        <v>69</v>
      </c>
      <c r="K16" s="117" t="s">
        <v>58</v>
      </c>
      <c r="L16" s="118">
        <f>SUMIF('Larvae Collection'!D:D,SUMMARIES!J16,'Larvae Collection'!R:R)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 x14ac:dyDescent="0.2">
      <c r="J17" s="116" t="s">
        <v>59</v>
      </c>
      <c r="K17" s="117" t="s">
        <v>58</v>
      </c>
      <c r="L17" s="118">
        <f>SUMIF('Larvae Collection'!D:D,SUMMARIES!J17,'Larvae Collection'!R:R)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 x14ac:dyDescent="0.2">
      <c r="J18" s="102"/>
      <c r="K18" s="62" t="s">
        <v>208</v>
      </c>
      <c r="L18" s="106">
        <f>SUM(L2:L17)</f>
        <v>51597743.373015881</v>
      </c>
      <c r="N18" s="106">
        <f>SUM(N2:N17)</f>
        <v>492</v>
      </c>
    </row>
    <row r="19" spans="10:25" x14ac:dyDescent="0.2">
      <c r="J19" s="102" t="s">
        <v>39</v>
      </c>
      <c r="K19" s="62" t="s">
        <v>67</v>
      </c>
      <c r="L19" t="s">
        <v>68</v>
      </c>
      <c r="M19" t="s">
        <v>77</v>
      </c>
      <c r="N19" t="s">
        <v>61</v>
      </c>
      <c r="O19" t="s">
        <v>119</v>
      </c>
      <c r="P19" t="s">
        <v>38</v>
      </c>
      <c r="Q19" t="s">
        <v>42</v>
      </c>
      <c r="R19" t="s">
        <v>113</v>
      </c>
      <c r="S19" t="s">
        <v>94</v>
      </c>
      <c r="T19" t="s">
        <v>95</v>
      </c>
      <c r="U19" t="s">
        <v>96</v>
      </c>
      <c r="V19" t="s">
        <v>65</v>
      </c>
      <c r="W19" t="s">
        <v>66</v>
      </c>
      <c r="X19" t="s">
        <v>69</v>
      </c>
      <c r="Y19" t="s">
        <v>59</v>
      </c>
    </row>
    <row r="20" spans="10:25" x14ac:dyDescent="0.2">
      <c r="J20" s="103"/>
    </row>
    <row r="21" spans="10:25" x14ac:dyDescent="0.2">
      <c r="J21" s="104"/>
    </row>
  </sheetData>
  <sortState xmlns:xlrd2="http://schemas.microsoft.com/office/spreadsheetml/2017/richdata2"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showRuler="0" zoomScale="110" zoomScaleNormal="110" workbookViewId="0">
      <selection activeCell="A33" sqref="A33"/>
    </sheetView>
  </sheetViews>
  <sheetFormatPr baseColWidth="10" defaultRowHeight="16" x14ac:dyDescent="0.2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34"/>
    <col min="12" max="12" width="13.33203125" customWidth="1"/>
  </cols>
  <sheetData>
    <row r="1" spans="1:13" s="99" customFormat="1" ht="40" x14ac:dyDescent="0.25">
      <c r="A1" s="99" t="s">
        <v>151</v>
      </c>
      <c r="B1" s="99" t="s">
        <v>156</v>
      </c>
      <c r="C1" s="131" t="s">
        <v>162</v>
      </c>
      <c r="D1" s="178" t="s">
        <v>155</v>
      </c>
      <c r="E1" s="132" t="s">
        <v>152</v>
      </c>
      <c r="F1" s="132" t="s">
        <v>153</v>
      </c>
      <c r="G1" s="132" t="s">
        <v>154</v>
      </c>
      <c r="H1" s="99" t="s">
        <v>160</v>
      </c>
      <c r="I1" s="99" t="s">
        <v>161</v>
      </c>
      <c r="J1" s="99" t="s">
        <v>159</v>
      </c>
      <c r="L1" s="99" t="s">
        <v>157</v>
      </c>
      <c r="M1" s="99" t="s">
        <v>158</v>
      </c>
    </row>
    <row r="2" spans="1:13" x14ac:dyDescent="0.2">
      <c r="A2" s="60">
        <v>43200</v>
      </c>
      <c r="B2" t="s">
        <v>135</v>
      </c>
      <c r="C2" s="2">
        <v>742.22222222222217</v>
      </c>
      <c r="D2" s="94">
        <v>1.08</v>
      </c>
      <c r="E2" s="133">
        <v>1009</v>
      </c>
      <c r="F2" s="133">
        <v>792</v>
      </c>
      <c r="G2" s="133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0">
        <f t="shared" ref="J2:J16" si="2">(AVERAGE(E2:G2)-(C2*D2))/(C2*D2)</f>
        <v>0.10154690618762471</v>
      </c>
      <c r="K2" s="130"/>
      <c r="L2" s="129">
        <f>AVERAGE(E:G)</f>
        <v>824.60377358490564</v>
      </c>
      <c r="M2" s="129">
        <f>STDEV(E:G)</f>
        <v>80.924784551563562</v>
      </c>
    </row>
    <row r="3" spans="1:13" x14ac:dyDescent="0.2">
      <c r="A3" s="60">
        <v>43200</v>
      </c>
      <c r="B3" t="s">
        <v>134</v>
      </c>
      <c r="C3" s="2">
        <v>833.33333333333326</v>
      </c>
      <c r="D3" s="94">
        <v>0.96</v>
      </c>
      <c r="E3" s="133">
        <v>926</v>
      </c>
      <c r="F3" s="133">
        <v>878</v>
      </c>
      <c r="G3" s="133">
        <v>769</v>
      </c>
      <c r="H3" s="106">
        <f t="shared" si="0"/>
        <v>857.66666666666663</v>
      </c>
      <c r="I3" s="94">
        <f t="shared" si="1"/>
        <v>80.45081313034278</v>
      </c>
      <c r="J3" s="130">
        <f t="shared" si="2"/>
        <v>7.2083333333333444E-2</v>
      </c>
      <c r="K3" s="130"/>
    </row>
    <row r="4" spans="1:13" x14ac:dyDescent="0.2">
      <c r="A4" s="60">
        <v>43200</v>
      </c>
      <c r="B4" t="s">
        <v>133</v>
      </c>
      <c r="C4" s="2">
        <v>353.33333333333337</v>
      </c>
      <c r="D4" s="94">
        <v>2.2599999999999998</v>
      </c>
      <c r="E4" s="133">
        <v>914</v>
      </c>
      <c r="F4" s="133">
        <v>887</v>
      </c>
      <c r="G4" s="133">
        <v>934</v>
      </c>
      <c r="H4" s="106">
        <f t="shared" si="0"/>
        <v>911.66666666666663</v>
      </c>
      <c r="I4" s="94">
        <f t="shared" si="1"/>
        <v>23.586719427112648</v>
      </c>
      <c r="J4" s="130">
        <f t="shared" si="2"/>
        <v>0.14167640674570045</v>
      </c>
      <c r="K4" s="130"/>
    </row>
    <row r="5" spans="1:13" x14ac:dyDescent="0.2">
      <c r="A5" s="60">
        <v>43201</v>
      </c>
      <c r="B5" t="s">
        <v>51</v>
      </c>
      <c r="C5" s="2">
        <v>253</v>
      </c>
      <c r="D5" s="94">
        <v>3.17</v>
      </c>
      <c r="E5" s="133">
        <v>774</v>
      </c>
      <c r="F5" s="133">
        <v>813</v>
      </c>
      <c r="G5" s="133">
        <v>746</v>
      </c>
      <c r="H5" s="106">
        <f t="shared" si="0"/>
        <v>777.66666666666663</v>
      </c>
      <c r="I5" s="94">
        <f t="shared" si="1"/>
        <v>33.650160970392598</v>
      </c>
      <c r="J5" s="130">
        <f t="shared" si="2"/>
        <v>-3.0352904992872111E-2</v>
      </c>
      <c r="K5" s="130"/>
    </row>
    <row r="6" spans="1:13" x14ac:dyDescent="0.2">
      <c r="A6" s="60">
        <v>43202</v>
      </c>
      <c r="B6" t="s">
        <v>147</v>
      </c>
      <c r="C6" s="2">
        <v>266</v>
      </c>
      <c r="D6" s="94">
        <v>3.01</v>
      </c>
      <c r="E6" s="134">
        <v>889</v>
      </c>
      <c r="F6" s="134">
        <v>829</v>
      </c>
      <c r="G6" s="134">
        <v>809</v>
      </c>
      <c r="H6" s="106">
        <f t="shared" si="0"/>
        <v>842.33333333333337</v>
      </c>
      <c r="I6" s="94">
        <f t="shared" si="1"/>
        <v>41.633319989322651</v>
      </c>
      <c r="J6" s="130">
        <f t="shared" si="2"/>
        <v>5.2048726467331205E-2</v>
      </c>
    </row>
    <row r="7" spans="1:13" x14ac:dyDescent="0.2">
      <c r="A7" s="60">
        <v>43202</v>
      </c>
      <c r="B7" t="s">
        <v>145</v>
      </c>
      <c r="C7" s="2">
        <v>296</v>
      </c>
      <c r="D7" s="94">
        <v>2.71</v>
      </c>
      <c r="E7" s="134">
        <v>917</v>
      </c>
      <c r="F7" s="134">
        <v>871</v>
      </c>
      <c r="G7" s="134">
        <v>887</v>
      </c>
      <c r="H7" s="106">
        <f t="shared" si="0"/>
        <v>891.66666666666663</v>
      </c>
      <c r="I7" s="107">
        <f t="shared" si="1"/>
        <v>23.352373184182657</v>
      </c>
      <c r="J7" s="130">
        <f t="shared" si="2"/>
        <v>0.11158206176656361</v>
      </c>
      <c r="K7" s="107"/>
    </row>
    <row r="8" spans="1:13" x14ac:dyDescent="0.2">
      <c r="A8" s="60">
        <v>43203</v>
      </c>
      <c r="B8" t="s">
        <v>149</v>
      </c>
      <c r="C8" s="2">
        <v>507</v>
      </c>
      <c r="D8" s="94">
        <v>1.58</v>
      </c>
      <c r="E8" s="134">
        <v>721</v>
      </c>
      <c r="F8" s="134">
        <v>796</v>
      </c>
      <c r="G8" s="134">
        <v>778</v>
      </c>
      <c r="H8" s="106">
        <f t="shared" si="0"/>
        <v>765</v>
      </c>
      <c r="I8" s="107">
        <f t="shared" si="1"/>
        <v>39.153543900903784</v>
      </c>
      <c r="J8" s="130">
        <f t="shared" si="2"/>
        <v>-4.5015354655082086E-2</v>
      </c>
    </row>
    <row r="9" spans="1:13" x14ac:dyDescent="0.2">
      <c r="A9" s="60">
        <v>43203</v>
      </c>
      <c r="B9" t="s">
        <v>110</v>
      </c>
      <c r="C9" s="2">
        <v>285</v>
      </c>
      <c r="D9" s="94">
        <v>2.81</v>
      </c>
      <c r="E9" s="134">
        <v>757</v>
      </c>
      <c r="F9" s="134">
        <v>785</v>
      </c>
      <c r="G9" s="134">
        <v>772</v>
      </c>
      <c r="H9" s="106">
        <f t="shared" si="0"/>
        <v>771.33333333333337</v>
      </c>
      <c r="I9" s="107">
        <f t="shared" si="1"/>
        <v>14.011899704655802</v>
      </c>
      <c r="J9" s="130">
        <f t="shared" si="2"/>
        <v>-3.6856673118145285E-2</v>
      </c>
    </row>
    <row r="10" spans="1:13" x14ac:dyDescent="0.2">
      <c r="A10" s="60">
        <v>43203</v>
      </c>
      <c r="B10" t="s">
        <v>148</v>
      </c>
      <c r="C10" s="2">
        <v>583</v>
      </c>
      <c r="D10" s="94">
        <v>1.37</v>
      </c>
      <c r="E10" s="134">
        <v>822</v>
      </c>
      <c r="F10" s="134">
        <v>841</v>
      </c>
      <c r="G10" s="134">
        <v>1075</v>
      </c>
      <c r="H10" s="106">
        <f t="shared" si="0"/>
        <v>912.66666666666663</v>
      </c>
      <c r="I10" s="107">
        <f t="shared" si="1"/>
        <v>140.90540562140708</v>
      </c>
      <c r="J10" s="130">
        <f t="shared" si="2"/>
        <v>0.1426758982192117</v>
      </c>
    </row>
    <row r="11" spans="1:13" x14ac:dyDescent="0.2">
      <c r="A11" s="60">
        <v>43203</v>
      </c>
      <c r="B11" t="s">
        <v>150</v>
      </c>
      <c r="C11" s="2">
        <v>340</v>
      </c>
      <c r="D11" s="94">
        <v>2.35</v>
      </c>
      <c r="E11" s="134">
        <v>854</v>
      </c>
      <c r="F11" s="134">
        <v>822</v>
      </c>
      <c r="G11" s="134">
        <v>756</v>
      </c>
      <c r="H11" s="106">
        <f t="shared" si="0"/>
        <v>810.66666666666663</v>
      </c>
      <c r="I11" s="107">
        <f t="shared" si="1"/>
        <v>49.973326218427097</v>
      </c>
      <c r="J11" s="130">
        <f t="shared" si="2"/>
        <v>1.4601585314977007E-2</v>
      </c>
    </row>
    <row r="12" spans="1:13" x14ac:dyDescent="0.2">
      <c r="A12" s="60">
        <v>43204</v>
      </c>
      <c r="B12" t="s">
        <v>111</v>
      </c>
      <c r="C12" s="2">
        <v>281</v>
      </c>
      <c r="D12" s="94">
        <v>2.84</v>
      </c>
      <c r="E12" s="134">
        <v>838</v>
      </c>
      <c r="F12" s="134">
        <v>873</v>
      </c>
      <c r="G12" s="134">
        <v>969</v>
      </c>
      <c r="H12" s="106">
        <f t="shared" si="0"/>
        <v>893.33333333333337</v>
      </c>
      <c r="I12" s="107">
        <f t="shared" si="1"/>
        <v>67.825757152672722</v>
      </c>
      <c r="J12" s="130">
        <f t="shared" si="2"/>
        <v>0.11940921925383867</v>
      </c>
    </row>
    <row r="13" spans="1:13" x14ac:dyDescent="0.2">
      <c r="A13" s="60">
        <v>43204</v>
      </c>
      <c r="B13" t="s">
        <v>166</v>
      </c>
      <c r="C13" s="2">
        <v>1157</v>
      </c>
      <c r="D13" s="94">
        <v>0.69</v>
      </c>
      <c r="E13" s="134">
        <v>755</v>
      </c>
      <c r="F13" s="134">
        <v>756</v>
      </c>
      <c r="G13" s="134">
        <v>799</v>
      </c>
      <c r="H13" s="106">
        <f t="shared" si="0"/>
        <v>770</v>
      </c>
      <c r="I13" s="107">
        <f t="shared" si="1"/>
        <v>25.119713374160941</v>
      </c>
      <c r="J13" s="130">
        <f t="shared" si="2"/>
        <v>-3.5486578232059335E-2</v>
      </c>
    </row>
    <row r="14" spans="1:13" x14ac:dyDescent="0.2">
      <c r="A14" s="60">
        <v>43204</v>
      </c>
      <c r="B14" t="s">
        <v>163</v>
      </c>
      <c r="C14" s="2">
        <v>194</v>
      </c>
      <c r="D14" s="94">
        <v>4.1100000000000003</v>
      </c>
      <c r="E14" s="134" t="s">
        <v>209</v>
      </c>
      <c r="F14" s="134">
        <v>842</v>
      </c>
      <c r="G14" s="134">
        <v>777</v>
      </c>
      <c r="H14" s="106">
        <f t="shared" si="0"/>
        <v>809.5</v>
      </c>
      <c r="I14" s="107">
        <f t="shared" si="1"/>
        <v>45.961940777125591</v>
      </c>
      <c r="J14" s="130">
        <f>(AVERAGE(E14:G14)-(C14*D14))/(C14*D14)</f>
        <v>1.5250708606115293E-2</v>
      </c>
    </row>
    <row r="15" spans="1:13" x14ac:dyDescent="0.2">
      <c r="A15" s="60">
        <v>43205</v>
      </c>
      <c r="B15" t="s">
        <v>146</v>
      </c>
      <c r="C15" s="2">
        <v>732</v>
      </c>
      <c r="D15" s="94">
        <v>1.0900000000000001</v>
      </c>
      <c r="E15" s="134">
        <v>723</v>
      </c>
      <c r="F15" s="134">
        <v>793</v>
      </c>
      <c r="G15" s="134">
        <v>775</v>
      </c>
      <c r="H15" s="106">
        <f>AVERAGE(E15:G15)</f>
        <v>763.66666666666663</v>
      </c>
      <c r="I15" s="107">
        <f>STDEV(E15:G15)</f>
        <v>36.350149013908229</v>
      </c>
      <c r="J15" s="130">
        <f t="shared" si="2"/>
        <v>-4.2880299460236471E-2</v>
      </c>
    </row>
    <row r="16" spans="1:13" x14ac:dyDescent="0.2">
      <c r="A16" s="60">
        <v>43205</v>
      </c>
      <c r="B16" t="s">
        <v>164</v>
      </c>
      <c r="C16" s="2">
        <v>692</v>
      </c>
      <c r="D16" s="94">
        <v>1.1599999999999999</v>
      </c>
      <c r="E16" s="134">
        <v>777</v>
      </c>
      <c r="F16" s="134">
        <v>725</v>
      </c>
      <c r="G16" s="134">
        <v>755</v>
      </c>
      <c r="H16" s="106">
        <f>AVERAGE(E16:G16)</f>
        <v>752.33333333333337</v>
      </c>
      <c r="I16" s="107">
        <f>STDEV(E16:G16)</f>
        <v>26.102362600602522</v>
      </c>
      <c r="J16" s="130">
        <f t="shared" si="2"/>
        <v>-6.2769915620224423E-2</v>
      </c>
    </row>
    <row r="17" spans="1:10" x14ac:dyDescent="0.2">
      <c r="A17" s="60">
        <v>43206</v>
      </c>
      <c r="B17" t="s">
        <v>168</v>
      </c>
      <c r="C17" s="2">
        <v>279.16666666666669</v>
      </c>
      <c r="D17" s="94">
        <v>2.8656716417910446</v>
      </c>
      <c r="E17" s="134">
        <v>888</v>
      </c>
      <c r="F17" s="134">
        <v>954</v>
      </c>
      <c r="G17" s="134">
        <v>811</v>
      </c>
      <c r="H17" s="106">
        <f>AVERAGE(E17:G17)</f>
        <v>884.33333333333337</v>
      </c>
      <c r="I17" s="107">
        <f>STDEV(E17:G17)</f>
        <v>71.570478085124833</v>
      </c>
      <c r="J17" s="130">
        <f>(AVERAGE(E17:G17)-(C17*D17))/(C17*D17)</f>
        <v>0.10541666666666671</v>
      </c>
    </row>
    <row r="18" spans="1:10" x14ac:dyDescent="0.2">
      <c r="A18" s="60">
        <v>43206</v>
      </c>
      <c r="B18" t="s">
        <v>100</v>
      </c>
      <c r="C18" s="2">
        <v>206.11111111111111</v>
      </c>
      <c r="D18" s="94">
        <v>3.881401617250674</v>
      </c>
      <c r="E18" s="134">
        <v>700</v>
      </c>
      <c r="F18" s="134">
        <v>695</v>
      </c>
      <c r="G18" s="134">
        <v>751</v>
      </c>
      <c r="H18" s="106">
        <f>AVERAGE(E18:G18)</f>
        <v>715.33333333333337</v>
      </c>
      <c r="I18" s="107">
        <f>STDEV(E18:G18)</f>
        <v>30.98924544633724</v>
      </c>
      <c r="J18" s="130">
        <f>(AVERAGE(E18:G18)-(C18*D18))/(C18*D18)</f>
        <v>-0.10583333333333328</v>
      </c>
    </row>
    <row r="19" spans="1:10" x14ac:dyDescent="0.2">
      <c r="A19" s="60">
        <v>43209</v>
      </c>
      <c r="B19" t="s">
        <v>168</v>
      </c>
      <c r="C19" s="2">
        <v>533</v>
      </c>
      <c r="D19" s="94">
        <v>1.5</v>
      </c>
      <c r="E19" s="134">
        <v>790</v>
      </c>
      <c r="F19" s="134">
        <v>939</v>
      </c>
      <c r="G19" s="134">
        <v>748</v>
      </c>
      <c r="H19" s="106">
        <f>AVERAGE(E19:G19)</f>
        <v>825.66666666666663</v>
      </c>
      <c r="I19" s="107">
        <f>STDEV(E19:G19)</f>
        <v>100.37097854127623</v>
      </c>
      <c r="J19" s="130">
        <f>(AVERAGE(E19:G19)-(C19*D19))/(C19*D19)</f>
        <v>3.2728788826349754E-2</v>
      </c>
    </row>
    <row r="20" spans="1:10" x14ac:dyDescent="0.2">
      <c r="G20" s="179" t="s">
        <v>210</v>
      </c>
      <c r="H20" s="180">
        <f>AVERAGE(H2:H19)</f>
        <v>824.32407407407413</v>
      </c>
      <c r="I20" s="181">
        <f>AVERAGE(I2:I19)</f>
        <v>53.536806984109617</v>
      </c>
      <c r="J20" s="196">
        <f>AVERAGE(J2:J19)</f>
        <v>3.0545846776431088E-2</v>
      </c>
    </row>
    <row r="21" spans="1:10" x14ac:dyDescent="0.2">
      <c r="H21" s="107"/>
      <c r="I21" s="107"/>
      <c r="J21" s="130"/>
    </row>
    <row r="22" spans="1:10" x14ac:dyDescent="0.2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3"/>
  <sheetViews>
    <sheetView showRuler="0" workbookViewId="0">
      <selection activeCell="I36" sqref="I36"/>
    </sheetView>
  </sheetViews>
  <sheetFormatPr baseColWidth="10" defaultRowHeight="16" x14ac:dyDescent="0.2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 x14ac:dyDescent="0.2">
      <c r="A1" t="s">
        <v>211</v>
      </c>
    </row>
    <row r="2" spans="1:13" x14ac:dyDescent="0.2">
      <c r="A2" t="s">
        <v>174</v>
      </c>
      <c r="B2" t="s">
        <v>175</v>
      </c>
    </row>
    <row r="3" spans="1:13" x14ac:dyDescent="0.2">
      <c r="G3" s="217" t="s">
        <v>184</v>
      </c>
      <c r="H3" s="217"/>
      <c r="I3" s="217"/>
      <c r="J3" s="217" t="s">
        <v>185</v>
      </c>
      <c r="K3" s="217"/>
      <c r="L3" s="217"/>
      <c r="M3" s="101"/>
    </row>
    <row r="4" spans="1:13" ht="34" x14ac:dyDescent="0.2">
      <c r="A4" t="s">
        <v>0</v>
      </c>
      <c r="B4" t="s">
        <v>1</v>
      </c>
      <c r="C4" t="s">
        <v>80</v>
      </c>
      <c r="D4" s="2" t="s">
        <v>171</v>
      </c>
      <c r="E4" s="97" t="s">
        <v>172</v>
      </c>
      <c r="F4" s="97" t="s">
        <v>180</v>
      </c>
      <c r="G4" t="s">
        <v>177</v>
      </c>
      <c r="H4" t="s">
        <v>178</v>
      </c>
      <c r="I4" t="s">
        <v>179</v>
      </c>
      <c r="J4" t="s">
        <v>177</v>
      </c>
      <c r="K4" t="s">
        <v>178</v>
      </c>
      <c r="L4" t="s">
        <v>179</v>
      </c>
    </row>
    <row r="5" spans="1:13" x14ac:dyDescent="0.2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49" t="s">
        <v>187</v>
      </c>
      <c r="H5" s="149" t="s">
        <v>186</v>
      </c>
      <c r="I5" s="149" t="s">
        <v>188</v>
      </c>
      <c r="J5" s="149"/>
      <c r="K5" s="149"/>
      <c r="L5" s="149"/>
      <c r="M5" t="s">
        <v>192</v>
      </c>
    </row>
    <row r="6" spans="1:13" x14ac:dyDescent="0.2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49" t="s">
        <v>189</v>
      </c>
      <c r="H6" s="149" t="s">
        <v>190</v>
      </c>
      <c r="I6" s="149" t="s">
        <v>191</v>
      </c>
      <c r="J6" s="149"/>
      <c r="K6" s="149"/>
      <c r="L6" s="149"/>
    </row>
    <row r="7" spans="1:13" x14ac:dyDescent="0.2">
      <c r="A7" s="60">
        <v>43212</v>
      </c>
      <c r="B7" t="s">
        <v>29</v>
      </c>
      <c r="C7" t="s">
        <v>61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49"/>
      <c r="H7" s="149"/>
      <c r="I7" s="149"/>
      <c r="J7" s="149"/>
      <c r="K7" s="149"/>
      <c r="L7" s="149"/>
    </row>
    <row r="8" spans="1:13" x14ac:dyDescent="0.2">
      <c r="A8" s="60">
        <v>43212</v>
      </c>
      <c r="B8" t="s">
        <v>58</v>
      </c>
      <c r="C8" t="s">
        <v>69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49"/>
      <c r="H8" s="149"/>
      <c r="I8" s="149"/>
      <c r="J8" s="149"/>
      <c r="K8" s="149"/>
      <c r="L8" s="149"/>
    </row>
    <row r="9" spans="1:13" x14ac:dyDescent="0.2">
      <c r="A9" s="60">
        <v>43212</v>
      </c>
      <c r="B9" t="s">
        <v>37</v>
      </c>
      <c r="C9" t="s">
        <v>67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49"/>
      <c r="H9" s="149"/>
      <c r="I9" s="149"/>
      <c r="J9" s="149"/>
      <c r="K9" s="149"/>
      <c r="L9" s="149"/>
    </row>
    <row r="10" spans="1:13" x14ac:dyDescent="0.2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49"/>
      <c r="H10" s="149"/>
      <c r="I10" s="149"/>
      <c r="J10" s="149"/>
      <c r="K10" s="149"/>
      <c r="L10" s="149"/>
    </row>
    <row r="11" spans="1:13" x14ac:dyDescent="0.2">
      <c r="A11" s="60">
        <v>43212</v>
      </c>
      <c r="B11" t="s">
        <v>58</v>
      </c>
      <c r="C11" t="s">
        <v>65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 x14ac:dyDescent="0.2">
      <c r="A13" s="60">
        <v>43215</v>
      </c>
      <c r="B13" t="s">
        <v>29</v>
      </c>
      <c r="C13" s="45" t="s">
        <v>61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 x14ac:dyDescent="0.2">
      <c r="A14" s="60">
        <v>43215</v>
      </c>
      <c r="B14" t="s">
        <v>28</v>
      </c>
      <c r="C14" s="45" t="s">
        <v>68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 x14ac:dyDescent="0.2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 x14ac:dyDescent="0.2">
      <c r="A16" s="60">
        <v>43215</v>
      </c>
      <c r="B16" t="s">
        <v>83</v>
      </c>
      <c r="C16" s="45" t="s">
        <v>96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 x14ac:dyDescent="0.2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 x14ac:dyDescent="0.2">
      <c r="A18" s="60">
        <v>43215</v>
      </c>
      <c r="B18" t="s">
        <v>60</v>
      </c>
      <c r="C18" s="45" t="s">
        <v>65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 x14ac:dyDescent="0.2">
      <c r="A20" t="s">
        <v>212</v>
      </c>
    </row>
    <row r="21" spans="1:18" x14ac:dyDescent="0.2">
      <c r="A21" t="s">
        <v>0</v>
      </c>
      <c r="B21" t="s">
        <v>213</v>
      </c>
      <c r="C21" s="45" t="s">
        <v>215</v>
      </c>
      <c r="D21" s="2" t="s">
        <v>214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t="s">
        <v>221</v>
      </c>
      <c r="K21" t="s">
        <v>222</v>
      </c>
      <c r="L21" t="s">
        <v>223</v>
      </c>
      <c r="M21" t="s">
        <v>227</v>
      </c>
      <c r="N21" t="s">
        <v>224</v>
      </c>
      <c r="O21" t="s">
        <v>225</v>
      </c>
      <c r="P21" t="s">
        <v>226</v>
      </c>
    </row>
    <row r="22" spans="1:18" s="29" customFormat="1" x14ac:dyDescent="0.2">
      <c r="A22" s="34">
        <v>43226</v>
      </c>
      <c r="B22" s="34" t="s">
        <v>228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 x14ac:dyDescent="0.2">
      <c r="A23" s="34">
        <v>43227</v>
      </c>
      <c r="B23" s="34" t="s">
        <v>145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3"/>
  <sheetViews>
    <sheetView tabSelected="1" showRuler="0" topLeftCell="Q1" zoomScale="80" zoomScaleNormal="80" zoomScalePageLayoutView="80" workbookViewId="0">
      <pane ySplit="1560" topLeftCell="A28" activePane="bottomLeft"/>
      <selection activeCell="J2" sqref="J2:K2"/>
      <selection pane="bottomLeft" activeCell="AA18" sqref="AA18"/>
    </sheetView>
  </sheetViews>
  <sheetFormatPr baseColWidth="10" defaultRowHeight="16" x14ac:dyDescent="0.2"/>
  <cols>
    <col min="1" max="1" width="20.83203125" style="138" customWidth="1"/>
    <col min="2" max="2" width="14.1640625" style="138" customWidth="1"/>
    <col min="3" max="4" width="14.1640625" style="138" bestFit="1" customWidth="1"/>
    <col min="5" max="5" width="12.1640625" style="138" bestFit="1" customWidth="1"/>
    <col min="6" max="14" width="14.1640625" style="138" bestFit="1" customWidth="1"/>
    <col min="15" max="15" width="14.1640625" style="138" customWidth="1"/>
    <col min="16" max="16" width="15.5" style="138" bestFit="1" customWidth="1"/>
    <col min="17" max="17" width="15.332031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A1" s="219" t="s">
        <v>207</v>
      </c>
      <c r="B1" s="218" t="s">
        <v>196</v>
      </c>
      <c r="C1" s="218"/>
      <c r="D1" s="218"/>
      <c r="E1" s="218"/>
      <c r="F1" s="218" t="s">
        <v>197</v>
      </c>
      <c r="G1" s="218"/>
      <c r="H1" s="218"/>
      <c r="I1" s="218"/>
      <c r="J1" s="218" t="s">
        <v>198</v>
      </c>
      <c r="K1" s="218"/>
      <c r="L1" s="218"/>
      <c r="M1" s="218"/>
      <c r="N1" s="218" t="s">
        <v>199</v>
      </c>
      <c r="O1" s="218"/>
      <c r="P1" s="218"/>
      <c r="Q1" s="218"/>
      <c r="R1" s="218" t="s">
        <v>196</v>
      </c>
      <c r="S1" s="218"/>
      <c r="T1" s="218"/>
      <c r="U1" s="218"/>
      <c r="V1" s="218" t="s">
        <v>197</v>
      </c>
      <c r="W1" s="218"/>
      <c r="X1" s="218"/>
      <c r="Y1" s="218"/>
      <c r="Z1" s="218" t="s">
        <v>198</v>
      </c>
      <c r="AA1" s="218"/>
      <c r="AB1" s="218"/>
      <c r="AC1" s="218"/>
      <c r="AD1" s="218" t="s">
        <v>199</v>
      </c>
      <c r="AE1" s="218"/>
      <c r="AF1" s="218"/>
      <c r="AG1" s="218"/>
    </row>
    <row r="2" spans="1:33" ht="26" customHeight="1" x14ac:dyDescent="0.25">
      <c r="A2" s="219"/>
      <c r="B2" s="218" t="s">
        <v>37</v>
      </c>
      <c r="C2" s="218"/>
      <c r="D2" s="218" t="s">
        <v>28</v>
      </c>
      <c r="E2" s="218"/>
      <c r="F2" s="218" t="s">
        <v>29</v>
      </c>
      <c r="G2" s="218"/>
      <c r="H2" s="218" t="s">
        <v>36</v>
      </c>
      <c r="I2" s="218"/>
      <c r="J2" s="218" t="s">
        <v>82</v>
      </c>
      <c r="K2" s="218"/>
      <c r="L2" s="218" t="s">
        <v>83</v>
      </c>
      <c r="M2" s="218"/>
      <c r="N2" s="218" t="s">
        <v>60</v>
      </c>
      <c r="O2" s="218"/>
      <c r="P2" s="218" t="s">
        <v>58</v>
      </c>
      <c r="Q2" s="218"/>
      <c r="R2" s="218" t="s">
        <v>37</v>
      </c>
      <c r="S2" s="218"/>
      <c r="T2" s="218" t="s">
        <v>28</v>
      </c>
      <c r="U2" s="218"/>
      <c r="V2" s="218" t="s">
        <v>29</v>
      </c>
      <c r="W2" s="218"/>
      <c r="X2" s="218" t="s">
        <v>36</v>
      </c>
      <c r="Y2" s="218"/>
      <c r="Z2" s="218" t="s">
        <v>82</v>
      </c>
      <c r="AA2" s="218"/>
      <c r="AB2" s="218" t="s">
        <v>83</v>
      </c>
      <c r="AC2" s="218"/>
      <c r="AD2" s="218" t="s">
        <v>60</v>
      </c>
      <c r="AE2" s="218"/>
      <c r="AF2" s="218" t="s">
        <v>58</v>
      </c>
      <c r="AG2" s="218"/>
    </row>
    <row r="3" spans="1:33" s="99" customFormat="1" ht="29" customHeight="1" x14ac:dyDescent="0.25">
      <c r="A3" s="100" t="s">
        <v>206</v>
      </c>
      <c r="B3" s="159" t="s">
        <v>39</v>
      </c>
      <c r="C3" s="160" t="s">
        <v>67</v>
      </c>
      <c r="D3" s="18" t="s">
        <v>68</v>
      </c>
      <c r="E3" s="18" t="s">
        <v>77</v>
      </c>
      <c r="F3" s="18" t="s">
        <v>61</v>
      </c>
      <c r="G3" s="18" t="s">
        <v>119</v>
      </c>
      <c r="H3" s="18" t="s">
        <v>38</v>
      </c>
      <c r="I3" s="18" t="s">
        <v>42</v>
      </c>
      <c r="J3" s="18" t="s">
        <v>113</v>
      </c>
      <c r="K3" s="18" t="s">
        <v>94</v>
      </c>
      <c r="L3" s="18" t="s">
        <v>95</v>
      </c>
      <c r="M3" s="18" t="s">
        <v>96</v>
      </c>
      <c r="N3" s="18" t="s">
        <v>65</v>
      </c>
      <c r="O3" s="18" t="s">
        <v>66</v>
      </c>
      <c r="P3" s="18" t="s">
        <v>69</v>
      </c>
      <c r="Q3" s="1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21" x14ac:dyDescent="0.25">
      <c r="A4" s="166">
        <v>43189</v>
      </c>
      <c r="B4" s="167">
        <f>SUMIFS('Larvae Collection'!$R:$R, 'Larvae Collection'!$A:$A,'SPAWNING PLOTS-raw'!$A4, 'Larvae Collection'!$D:$D, 'SPAWNING PLOTS-raw'!B$3)</f>
        <v>66880</v>
      </c>
      <c r="C4" s="167">
        <f>SUMIFS('Larvae Collection'!$R:$R, 'Larvae Collection'!$A:$A,'SPAWNING PLOTS-raw'!$A4, 'Larvae Collection'!$D:$D, 'SPAWNING PLOTS-raw'!C$3)</f>
        <v>0</v>
      </c>
      <c r="D4" s="167">
        <f>SUMIFS('Larvae Collection'!$R:$R, 'Larvae Collection'!$A:$A,'SPAWNING PLOTS-raw'!$A4, 'Larvae Collection'!$D:$D, 'SPAWNING PLOTS-raw'!D$3)</f>
        <v>219486.66666666669</v>
      </c>
      <c r="E4" s="167">
        <f>SUMIFS('Larvae Collection'!$R:$R, 'Larvae Collection'!$A:$A,'SPAWNING PLOTS-raw'!$A4, 'Larvae Collection'!$D:$D, 'SPAWNING PLOTS-raw'!E$3)</f>
        <v>124500</v>
      </c>
      <c r="F4" s="167">
        <f>SUMIFS('Larvae Collection'!$R:$R, 'Larvae Collection'!$A:$A,'SPAWNING PLOTS-raw'!$A4, 'Larvae Collection'!$D:$D, 'SPAWNING PLOTS-raw'!F$3)</f>
        <v>0</v>
      </c>
      <c r="G4" s="167">
        <f>SUMIFS('Larvae Collection'!$R:$R, 'Larvae Collection'!$A:$A,'SPAWNING PLOTS-raw'!$A4, 'Larvae Collection'!$D:$D, 'SPAWNING PLOTS-raw'!G$3)</f>
        <v>64826.666666666672</v>
      </c>
      <c r="H4" s="167">
        <f>SUMIFS('Larvae Collection'!$R:$R, 'Larvae Collection'!$A:$A,'SPAWNING PLOTS-raw'!$A4, 'Larvae Collection'!$D:$D, 'SPAWNING PLOTS-raw'!H$3)</f>
        <v>900373.33333333326</v>
      </c>
      <c r="I4" s="167">
        <f>SUMIFS('Larvae Collection'!$R:$R, 'Larvae Collection'!$A:$A,'SPAWNING PLOTS-raw'!$A4, 'Larvae Collection'!$D:$D, 'SPAWNING PLOTS-raw'!I$3)</f>
        <v>218666.66666666669</v>
      </c>
      <c r="J4" s="167">
        <f>SUMIFS('Larvae Collection'!$R:$R, 'Larvae Collection'!$A:$A,'SPAWNING PLOTS-raw'!$A4, 'Larvae Collection'!$D:$D, 'SPAWNING PLOTS-raw'!J$3)</f>
        <v>0</v>
      </c>
      <c r="K4" s="167">
        <f>SUMIFS('Larvae Collection'!$R:$R, 'Larvae Collection'!$A:$A,'SPAWNING PLOTS-raw'!$A4, 'Larvae Collection'!$D:$D, 'SPAWNING PLOTS-raw'!K$3)</f>
        <v>0</v>
      </c>
      <c r="L4" s="167">
        <f>SUMIFS('Larvae Collection'!$R:$R, 'Larvae Collection'!$A:$A,'SPAWNING PLOTS-raw'!$A4, 'Larvae Collection'!$D:$D, 'SPAWNING PLOTS-raw'!L$3)</f>
        <v>0</v>
      </c>
      <c r="M4" s="167">
        <f>SUMIFS('Larvae Collection'!$R:$R, 'Larvae Collection'!$A:$A,'SPAWNING PLOTS-raw'!$A4, 'Larvae Collection'!$D:$D, 'SPAWNING PLOTS-raw'!M$3)</f>
        <v>0</v>
      </c>
      <c r="N4" s="167">
        <f>SUMIFS('Larvae Collection'!$R:$R, 'Larvae Collection'!$A:$A,'SPAWNING PLOTS-raw'!$A4, 'Larvae Collection'!$D:$D, 'SPAWNING PLOTS-raw'!N$3)</f>
        <v>0</v>
      </c>
      <c r="O4" s="167">
        <f>SUMIFS('Larvae Collection'!$R:$R, 'Larvae Collection'!$A:$A,'SPAWNING PLOTS-raw'!$A4, 'Larvae Collection'!$D:$D, 'SPAWNING PLOTS-raw'!O$3)</f>
        <v>0</v>
      </c>
      <c r="P4" s="167">
        <f>SUMIFS('Larvae Collection'!$R:$R, 'Larvae Collection'!$A:$A,'SPAWNING PLOTS-raw'!$A4, 'Larvae Collection'!$D:$D, 'SPAWNING PLOTS-raw'!P$3)</f>
        <v>0</v>
      </c>
      <c r="Q4" s="167">
        <f>SUMIFS('Larvae Collection'!$R:$R, 'Larvae Collection'!$A:$A,'SPAWNING PLOTS-raw'!$A4, 'Larvae Collection'!$D:$D, 'SPAWNING PLOTS-raw'!Q$3)</f>
        <v>0</v>
      </c>
      <c r="R4" s="151">
        <f>SUMIFS(B$4:B$31, $A$4:$A$31, "&lt;="&amp;$A4)</f>
        <v>66880</v>
      </c>
      <c r="S4" s="151">
        <f>SUMIFS(C$4:C$31, $A$4:$A$31, "&lt;="&amp;$A4)</f>
        <v>0</v>
      </c>
      <c r="T4" s="151">
        <f t="shared" ref="T4:AG4" si="0">SUMIFS(D$4:D$31, $A$4:$A$31, "&lt;="&amp;$A4)</f>
        <v>219486.66666666669</v>
      </c>
      <c r="U4" s="151">
        <f t="shared" si="0"/>
        <v>124500</v>
      </c>
      <c r="V4" s="151">
        <f t="shared" si="0"/>
        <v>0</v>
      </c>
      <c r="W4" s="151">
        <f t="shared" si="0"/>
        <v>64826.666666666672</v>
      </c>
      <c r="X4" s="151">
        <f t="shared" si="0"/>
        <v>900373.33333333326</v>
      </c>
      <c r="Y4" s="151">
        <f t="shared" si="0"/>
        <v>218666.66666666669</v>
      </c>
      <c r="Z4" s="151">
        <f t="shared" si="0"/>
        <v>0</v>
      </c>
      <c r="AA4" s="151">
        <f t="shared" si="0"/>
        <v>0</v>
      </c>
      <c r="AB4" s="151">
        <f t="shared" si="0"/>
        <v>0</v>
      </c>
      <c r="AC4" s="151">
        <f t="shared" si="0"/>
        <v>0</v>
      </c>
      <c r="AD4" s="151">
        <f t="shared" si="0"/>
        <v>0</v>
      </c>
      <c r="AE4" s="151">
        <f t="shared" si="0"/>
        <v>0</v>
      </c>
      <c r="AF4" s="151">
        <f t="shared" si="0"/>
        <v>0</v>
      </c>
      <c r="AG4" s="151">
        <f t="shared" si="0"/>
        <v>0</v>
      </c>
    </row>
    <row r="5" spans="1:33" ht="21" x14ac:dyDescent="0.25">
      <c r="A5" s="166">
        <v>43190</v>
      </c>
      <c r="B5" s="167">
        <f>SUMIFS('Larvae Collection'!$R:$R, 'Larvae Collection'!$A:$A,'SPAWNING PLOTS-raw'!$A5, 'Larvae Collection'!$D:$D, 'SPAWNING PLOTS-raw'!B$3)</f>
        <v>0</v>
      </c>
      <c r="C5" s="167">
        <f>SUMIFS('Larvae Collection'!$R:$R, 'Larvae Collection'!$A:$A,'SPAWNING PLOTS-raw'!$A5, 'Larvae Collection'!$D:$D, 'SPAWNING PLOTS-raw'!C$3)</f>
        <v>0</v>
      </c>
      <c r="D5" s="167">
        <f>SUMIFS('Larvae Collection'!$R:$R, 'Larvae Collection'!$A:$A,'SPAWNING PLOTS-raw'!$A5, 'Larvae Collection'!$D:$D, 'SPAWNING PLOTS-raw'!D$3)</f>
        <v>0</v>
      </c>
      <c r="E5" s="167">
        <f>SUMIFS('Larvae Collection'!$R:$R, 'Larvae Collection'!$A:$A,'SPAWNING PLOTS-raw'!$A5, 'Larvae Collection'!$D:$D, 'SPAWNING PLOTS-raw'!E$3)</f>
        <v>0</v>
      </c>
      <c r="F5" s="167">
        <f>SUMIFS('Larvae Collection'!$R:$R, 'Larvae Collection'!$A:$A,'SPAWNING PLOTS-raw'!$A5, 'Larvae Collection'!$D:$D, 'SPAWNING PLOTS-raw'!F$3)</f>
        <v>0</v>
      </c>
      <c r="G5" s="167">
        <f>SUMIFS('Larvae Collection'!$R:$R, 'Larvae Collection'!$A:$A,'SPAWNING PLOTS-raw'!$A5, 'Larvae Collection'!$D:$D, 'SPAWNING PLOTS-raw'!G$3)</f>
        <v>724800</v>
      </c>
      <c r="H5" s="167">
        <f>SUMIFS('Larvae Collection'!$R:$R, 'Larvae Collection'!$A:$A,'SPAWNING PLOTS-raw'!$A5, 'Larvae Collection'!$D:$D, 'SPAWNING PLOTS-raw'!H$3)</f>
        <v>213720</v>
      </c>
      <c r="I5" s="167">
        <f>SUMIFS('Larvae Collection'!$R:$R, 'Larvae Collection'!$A:$A,'SPAWNING PLOTS-raw'!$A5, 'Larvae Collection'!$D:$D, 'SPAWNING PLOTS-raw'!I$3)</f>
        <v>187893.33333333331</v>
      </c>
      <c r="J5" s="167">
        <f>SUMIFS('Larvae Collection'!$R:$R, 'Larvae Collection'!$A:$A,'SPAWNING PLOTS-raw'!$A5, 'Larvae Collection'!$D:$D, 'SPAWNING PLOTS-raw'!J$3)</f>
        <v>0</v>
      </c>
      <c r="K5" s="167">
        <f>SUMIFS('Larvae Collection'!$R:$R, 'Larvae Collection'!$A:$A,'SPAWNING PLOTS-raw'!$A5, 'Larvae Collection'!$D:$D, 'SPAWNING PLOTS-raw'!K$3)</f>
        <v>0</v>
      </c>
      <c r="L5" s="167">
        <f>SUMIFS('Larvae Collection'!$R:$R, 'Larvae Collection'!$A:$A,'SPAWNING PLOTS-raw'!$A5, 'Larvae Collection'!$D:$D, 'SPAWNING PLOTS-raw'!L$3)</f>
        <v>0</v>
      </c>
      <c r="M5" s="167">
        <f>SUMIFS('Larvae Collection'!$R:$R, 'Larvae Collection'!$A:$A,'SPAWNING PLOTS-raw'!$A5, 'Larvae Collection'!$D:$D, 'SPAWNING PLOTS-raw'!M$3)</f>
        <v>0</v>
      </c>
      <c r="N5" s="167">
        <f>SUMIFS('Larvae Collection'!$R:$R, 'Larvae Collection'!$A:$A,'SPAWNING PLOTS-raw'!$A5, 'Larvae Collection'!$D:$D, 'SPAWNING PLOTS-raw'!N$3)</f>
        <v>0</v>
      </c>
      <c r="O5" s="167">
        <f>SUMIFS('Larvae Collection'!$R:$R, 'Larvae Collection'!$A:$A,'SPAWNING PLOTS-raw'!$A5, 'Larvae Collection'!$D:$D, 'SPAWNING PLOTS-raw'!O$3)</f>
        <v>0</v>
      </c>
      <c r="P5" s="167">
        <f>SUMIFS('Larvae Collection'!$R:$R, 'Larvae Collection'!$A:$A,'SPAWNING PLOTS-raw'!$A5, 'Larvae Collection'!$D:$D, 'SPAWNING PLOTS-raw'!P$3)</f>
        <v>0</v>
      </c>
      <c r="Q5" s="167">
        <f>SUMIFS('Larvae Collection'!$R:$R, 'Larvae Collection'!$A:$A,'SPAWNING PLOTS-raw'!$A5, 'Larvae Collection'!$D:$D, 'SPAWNING PLOTS-raw'!Q$3)</f>
        <v>0</v>
      </c>
      <c r="R5" s="151">
        <f t="shared" ref="R5:R19" si="1">SUMIFS(B$4:B$31, $A$4:$A$31, "&lt;="&amp;$A5)</f>
        <v>66880</v>
      </c>
      <c r="S5" s="151">
        <f t="shared" ref="S5:S31" si="2">SUMIFS(C$4:C$31, $A$4:$A$31, "&lt;="&amp;$A5)</f>
        <v>0</v>
      </c>
      <c r="T5" s="151">
        <f t="shared" ref="T5:T31" si="3">SUMIFS(D$4:D$31, $A$4:$A$31, "&lt;="&amp;$A5)</f>
        <v>219486.66666666669</v>
      </c>
      <c r="U5" s="151">
        <f t="shared" ref="U5:U31" si="4">SUMIFS(E$4:E$31, $A$4:$A$31, "&lt;="&amp;$A5)</f>
        <v>124500</v>
      </c>
      <c r="V5" s="151">
        <f t="shared" ref="V5:V31" si="5">SUMIFS(F$4:F$31, $A$4:$A$31, "&lt;="&amp;$A5)</f>
        <v>0</v>
      </c>
      <c r="W5" s="151">
        <f t="shared" ref="W5:W31" si="6">SUMIFS(G$4:G$31, $A$4:$A$31, "&lt;="&amp;$A5)</f>
        <v>789626.66666666663</v>
      </c>
      <c r="X5" s="151">
        <f t="shared" ref="X5:X31" si="7">SUMIFS(H$4:H$31, $A$4:$A$31, "&lt;="&amp;$A5)</f>
        <v>1114093.3333333333</v>
      </c>
      <c r="Y5" s="151">
        <f t="shared" ref="Y5:Y31" si="8">SUMIFS(I$4:I$31, $A$4:$A$31, "&lt;="&amp;$A5)</f>
        <v>406560</v>
      </c>
      <c r="Z5" s="151">
        <f t="shared" ref="Z5:Z31" si="9">SUMIFS(J$4:J$31, $A$4:$A$31, "&lt;="&amp;$A5)</f>
        <v>0</v>
      </c>
      <c r="AA5" s="151">
        <f t="shared" ref="AA5:AA31" si="10">SUMIFS(K$4:K$31, $A$4:$A$31, "&lt;="&amp;$A5)</f>
        <v>0</v>
      </c>
      <c r="AB5" s="151">
        <f t="shared" ref="AB5:AB31" si="11">SUMIFS(L$4:L$31, $A$4:$A$31, "&lt;="&amp;$A5)</f>
        <v>0</v>
      </c>
      <c r="AC5" s="151">
        <f t="shared" ref="AC5:AC31" si="12">SUMIFS(M$4:M$31, $A$4:$A$31, "&lt;="&amp;$A5)</f>
        <v>0</v>
      </c>
      <c r="AD5" s="151">
        <f t="shared" ref="AD5:AD31" si="13">SUMIFS(N$4:N$31, $A$4:$A$31, "&lt;="&amp;$A5)</f>
        <v>0</v>
      </c>
      <c r="AE5" s="151">
        <f t="shared" ref="AE5:AE31" si="14">SUMIFS(O$4:O$31, $A$4:$A$31, "&lt;="&amp;$A5)</f>
        <v>0</v>
      </c>
      <c r="AF5" s="151">
        <f t="shared" ref="AF5:AF31" si="15">SUMIFS(P$4:P$31, $A$4:$A$31, "&lt;="&amp;$A5)</f>
        <v>0</v>
      </c>
      <c r="AG5" s="151">
        <f t="shared" ref="AG5:AG31" si="16">SUMIFS(Q$4:Q$31, $A$4:$A$31, "&lt;="&amp;$A5)</f>
        <v>0</v>
      </c>
    </row>
    <row r="6" spans="1:33" ht="21" x14ac:dyDescent="0.25">
      <c r="A6" s="166">
        <v>43191</v>
      </c>
      <c r="B6" s="167">
        <f>SUMIFS('Larvae Collection'!$R:$R, 'Larvae Collection'!$A:$A,'SPAWNING PLOTS-raw'!$A6, 'Larvae Collection'!$D:$D, 'SPAWNING PLOTS-raw'!B$3)</f>
        <v>0</v>
      </c>
      <c r="C6" s="167">
        <f>SUMIFS('Larvae Collection'!$R:$R, 'Larvae Collection'!$A:$A,'SPAWNING PLOTS-raw'!$A6, 'Larvae Collection'!$D:$D, 'SPAWNING PLOTS-raw'!C$3)</f>
        <v>0</v>
      </c>
      <c r="D6" s="167">
        <f>SUMIFS('Larvae Collection'!$R:$R, 'Larvae Collection'!$A:$A,'SPAWNING PLOTS-raw'!$A6, 'Larvae Collection'!$D:$D, 'SPAWNING PLOTS-raw'!D$3)</f>
        <v>11000</v>
      </c>
      <c r="E6" s="167">
        <f>SUMIFS('Larvae Collection'!$R:$R, 'Larvae Collection'!$A:$A,'SPAWNING PLOTS-raw'!$A6, 'Larvae Collection'!$D:$D, 'SPAWNING PLOTS-raw'!E$3)</f>
        <v>203571.42857142858</v>
      </c>
      <c r="F6" s="167">
        <f>SUMIFS('Larvae Collection'!$R:$R, 'Larvae Collection'!$A:$A,'SPAWNING PLOTS-raw'!$A6, 'Larvae Collection'!$D:$D, 'SPAWNING PLOTS-raw'!F$3)</f>
        <v>42119.047619047618</v>
      </c>
      <c r="G6" s="167">
        <f>SUMIFS('Larvae Collection'!$R:$R, 'Larvae Collection'!$A:$A,'SPAWNING PLOTS-raw'!$A6, 'Larvae Collection'!$D:$D, 'SPAWNING PLOTS-raw'!G$3)</f>
        <v>13466.666666666666</v>
      </c>
      <c r="H6" s="168">
        <f>SUMIFS('Larvae Collection'!$R:$R, 'Larvae Collection'!$A:$A,'SPAWNING PLOTS-raw'!$A6, 'Larvae Collection'!$D:$D, 'SPAWNING PLOTS-raw'!H$3)</f>
        <v>59833.333333333336</v>
      </c>
      <c r="I6" s="167">
        <f>SUMIFS('Larvae Collection'!$R:$R, 'Larvae Collection'!$A:$A,'SPAWNING PLOTS-raw'!$A6, 'Larvae Collection'!$D:$D, 'SPAWNING PLOTS-raw'!I$3)</f>
        <v>6490</v>
      </c>
      <c r="J6" s="167">
        <f>SUMIFS('Larvae Collection'!$R:$R, 'Larvae Collection'!$A:$A,'SPAWNING PLOTS-raw'!$A6, 'Larvae Collection'!$D:$D, 'SPAWNING PLOTS-raw'!J$3)</f>
        <v>0</v>
      </c>
      <c r="K6" s="167">
        <f>SUMIFS('Larvae Collection'!$R:$R, 'Larvae Collection'!$A:$A,'SPAWNING PLOTS-raw'!$A6, 'Larvae Collection'!$D:$D, 'SPAWNING PLOTS-raw'!K$3)</f>
        <v>0</v>
      </c>
      <c r="L6" s="167">
        <f>SUMIFS('Larvae Collection'!$R:$R, 'Larvae Collection'!$A:$A,'SPAWNING PLOTS-raw'!$A6, 'Larvae Collection'!$D:$D, 'SPAWNING PLOTS-raw'!L$3)</f>
        <v>0</v>
      </c>
      <c r="M6" s="167">
        <f>SUMIFS('Larvae Collection'!$R:$R, 'Larvae Collection'!$A:$A,'SPAWNING PLOTS-raw'!$A6, 'Larvae Collection'!$D:$D, 'SPAWNING PLOTS-raw'!M$3)</f>
        <v>0</v>
      </c>
      <c r="N6" s="167">
        <f>SUMIFS('Larvae Collection'!$R:$R, 'Larvae Collection'!$A:$A,'SPAWNING PLOTS-raw'!$A6, 'Larvae Collection'!$D:$D, 'SPAWNING PLOTS-raw'!N$3)</f>
        <v>0</v>
      </c>
      <c r="O6" s="167">
        <f>SUMIFS('Larvae Collection'!$R:$R, 'Larvae Collection'!$A:$A,'SPAWNING PLOTS-raw'!$A6, 'Larvae Collection'!$D:$D, 'SPAWNING PLOTS-raw'!O$3)</f>
        <v>2250</v>
      </c>
      <c r="P6" s="167">
        <f>SUMIFS('Larvae Collection'!$R:$R, 'Larvae Collection'!$A:$A,'SPAWNING PLOTS-raw'!$A6, 'Larvae Collection'!$D:$D, 'SPAWNING PLOTS-raw'!P$3)</f>
        <v>0</v>
      </c>
      <c r="Q6" s="167">
        <f>SUMIFS('Larvae Collection'!$R:$R, 'Larvae Collection'!$A:$A,'SPAWNING PLOTS-raw'!$A6, 'Larvae Collection'!$D:$D, 'SPAWNING PLOTS-raw'!Q$3)</f>
        <v>5777.7777777777783</v>
      </c>
      <c r="R6" s="151">
        <f t="shared" si="1"/>
        <v>66880</v>
      </c>
      <c r="S6" s="151">
        <f t="shared" si="2"/>
        <v>0</v>
      </c>
      <c r="T6" s="151">
        <f t="shared" si="3"/>
        <v>230486.66666666669</v>
      </c>
      <c r="U6" s="151">
        <f t="shared" si="4"/>
        <v>328071.42857142858</v>
      </c>
      <c r="V6" s="151">
        <f t="shared" si="5"/>
        <v>42119.047619047618</v>
      </c>
      <c r="W6" s="151">
        <f t="shared" si="6"/>
        <v>803093.33333333326</v>
      </c>
      <c r="X6" s="151">
        <f t="shared" si="7"/>
        <v>1173926.6666666665</v>
      </c>
      <c r="Y6" s="151">
        <f t="shared" si="8"/>
        <v>413050</v>
      </c>
      <c r="Z6" s="151">
        <f t="shared" si="9"/>
        <v>0</v>
      </c>
      <c r="AA6" s="151">
        <f t="shared" si="10"/>
        <v>0</v>
      </c>
      <c r="AB6" s="151">
        <f t="shared" si="11"/>
        <v>0</v>
      </c>
      <c r="AC6" s="151">
        <f t="shared" si="12"/>
        <v>0</v>
      </c>
      <c r="AD6" s="151">
        <f t="shared" si="13"/>
        <v>0</v>
      </c>
      <c r="AE6" s="151">
        <f t="shared" si="14"/>
        <v>2250</v>
      </c>
      <c r="AF6" s="151">
        <f t="shared" si="15"/>
        <v>0</v>
      </c>
      <c r="AG6" s="151">
        <f t="shared" si="16"/>
        <v>5777.7777777777783</v>
      </c>
    </row>
    <row r="7" spans="1:33" ht="21" x14ac:dyDescent="0.25">
      <c r="A7" s="166">
        <v>43192</v>
      </c>
      <c r="B7" s="167">
        <f>SUMIFS('Larvae Collection'!$R:$R, 'Larvae Collection'!$A:$A,'SPAWNING PLOTS-raw'!$A7, 'Larvae Collection'!$D:$D, 'SPAWNING PLOTS-raw'!B$3)</f>
        <v>0</v>
      </c>
      <c r="C7" s="167">
        <f>SUMIFS('Larvae Collection'!$R:$R, 'Larvae Collection'!$A:$A,'SPAWNING PLOTS-raw'!$A7, 'Larvae Collection'!$D:$D, 'SPAWNING PLOTS-raw'!C$3)</f>
        <v>503200</v>
      </c>
      <c r="D7" s="167">
        <f>SUMIFS('Larvae Collection'!$R:$R, 'Larvae Collection'!$A:$A,'SPAWNING PLOTS-raw'!$A7, 'Larvae Collection'!$D:$D, 'SPAWNING PLOTS-raw'!D$3)</f>
        <v>457000</v>
      </c>
      <c r="E7" s="167">
        <f>SUMIFS('Larvae Collection'!$R:$R, 'Larvae Collection'!$A:$A,'SPAWNING PLOTS-raw'!$A7, 'Larvae Collection'!$D:$D, 'SPAWNING PLOTS-raw'!E$3)</f>
        <v>0</v>
      </c>
      <c r="F7" s="167">
        <f>SUMIFS('Larvae Collection'!$R:$R, 'Larvae Collection'!$A:$A,'SPAWNING PLOTS-raw'!$A7, 'Larvae Collection'!$D:$D, 'SPAWNING PLOTS-raw'!F$3)</f>
        <v>317173.33333333331</v>
      </c>
      <c r="G7" s="167">
        <f>SUMIFS('Larvae Collection'!$R:$R, 'Larvae Collection'!$A:$A,'SPAWNING PLOTS-raw'!$A7, 'Larvae Collection'!$D:$D, 'SPAWNING PLOTS-raw'!G$3)</f>
        <v>0</v>
      </c>
      <c r="H7" s="167">
        <f>SUMIFS('Larvae Collection'!$R:$R, 'Larvae Collection'!$A:$A,'SPAWNING PLOTS-raw'!$A7, 'Larvae Collection'!$D:$D, 'SPAWNING PLOTS-raw'!H$3)</f>
        <v>324133.33333333331</v>
      </c>
      <c r="I7" s="167">
        <f>SUMIFS('Larvae Collection'!$R:$R, 'Larvae Collection'!$A:$A,'SPAWNING PLOTS-raw'!$A7, 'Larvae Collection'!$D:$D, 'SPAWNING PLOTS-raw'!I$3)</f>
        <v>374233.33333333331</v>
      </c>
      <c r="J7" s="167">
        <f>SUMIFS('Larvae Collection'!$R:$R, 'Larvae Collection'!$A:$A,'SPAWNING PLOTS-raw'!$A7, 'Larvae Collection'!$D:$D, 'SPAWNING PLOTS-raw'!J$3)</f>
        <v>0</v>
      </c>
      <c r="K7" s="167">
        <f>SUMIFS('Larvae Collection'!$R:$R, 'Larvae Collection'!$A:$A,'SPAWNING PLOTS-raw'!$A7, 'Larvae Collection'!$D:$D, 'SPAWNING PLOTS-raw'!K$3)</f>
        <v>0</v>
      </c>
      <c r="L7" s="167">
        <f>SUMIFS('Larvae Collection'!$R:$R, 'Larvae Collection'!$A:$A,'SPAWNING PLOTS-raw'!$A7, 'Larvae Collection'!$D:$D, 'SPAWNING PLOTS-raw'!L$3)</f>
        <v>0</v>
      </c>
      <c r="M7" s="167">
        <f>SUMIFS('Larvae Collection'!$R:$R, 'Larvae Collection'!$A:$A,'SPAWNING PLOTS-raw'!$A7, 'Larvae Collection'!$D:$D, 'SPAWNING PLOTS-raw'!M$3)</f>
        <v>0</v>
      </c>
      <c r="N7" s="167">
        <f>SUMIFS('Larvae Collection'!$R:$R, 'Larvae Collection'!$A:$A,'SPAWNING PLOTS-raw'!$A7, 'Larvae Collection'!$D:$D, 'SPAWNING PLOTS-raw'!N$3)</f>
        <v>412160</v>
      </c>
      <c r="O7" s="167">
        <f>SUMIFS('Larvae Collection'!$R:$R, 'Larvae Collection'!$A:$A,'SPAWNING PLOTS-raw'!$A7, 'Larvae Collection'!$D:$D, 'SPAWNING PLOTS-raw'!O$3)</f>
        <v>879520</v>
      </c>
      <c r="P7" s="167">
        <f>SUMIFS('Larvae Collection'!$R:$R, 'Larvae Collection'!$A:$A,'SPAWNING PLOTS-raw'!$A7, 'Larvae Collection'!$D:$D, 'SPAWNING PLOTS-raw'!P$3)</f>
        <v>751200</v>
      </c>
      <c r="Q7" s="167">
        <f>SUMIFS('Larvae Collection'!$R:$R, 'Larvae Collection'!$A:$A,'SPAWNING PLOTS-raw'!$A7, 'Larvae Collection'!$D:$D, 'SPAWNING PLOTS-raw'!Q$3)</f>
        <v>71200</v>
      </c>
      <c r="R7" s="151">
        <f t="shared" si="1"/>
        <v>66880</v>
      </c>
      <c r="S7" s="151">
        <f t="shared" si="2"/>
        <v>503200</v>
      </c>
      <c r="T7" s="151">
        <f t="shared" si="3"/>
        <v>687486.66666666674</v>
      </c>
      <c r="U7" s="151">
        <f t="shared" si="4"/>
        <v>328071.42857142858</v>
      </c>
      <c r="V7" s="151">
        <f t="shared" si="5"/>
        <v>359292.38095238095</v>
      </c>
      <c r="W7" s="151">
        <f t="shared" si="6"/>
        <v>803093.33333333326</v>
      </c>
      <c r="X7" s="151">
        <f t="shared" si="7"/>
        <v>1498059.9999999998</v>
      </c>
      <c r="Y7" s="151">
        <f t="shared" si="8"/>
        <v>787283.33333333326</v>
      </c>
      <c r="Z7" s="151">
        <f t="shared" si="9"/>
        <v>0</v>
      </c>
      <c r="AA7" s="151">
        <f t="shared" si="10"/>
        <v>0</v>
      </c>
      <c r="AB7" s="151">
        <f t="shared" si="11"/>
        <v>0</v>
      </c>
      <c r="AC7" s="151">
        <f t="shared" si="12"/>
        <v>0</v>
      </c>
      <c r="AD7" s="151">
        <f t="shared" si="13"/>
        <v>412160</v>
      </c>
      <c r="AE7" s="151">
        <f t="shared" si="14"/>
        <v>881770</v>
      </c>
      <c r="AF7" s="151">
        <f t="shared" si="15"/>
        <v>751200</v>
      </c>
      <c r="AG7" s="151">
        <f t="shared" si="16"/>
        <v>76977.777777777781</v>
      </c>
    </row>
    <row r="8" spans="1:33" ht="21" x14ac:dyDescent="0.25">
      <c r="A8" s="166">
        <v>43193</v>
      </c>
      <c r="B8" s="167">
        <f>SUMIFS('Larvae Collection'!$R:$R, 'Larvae Collection'!$A:$A,'SPAWNING PLOTS-raw'!$A8, 'Larvae Collection'!$D:$D, 'SPAWNING PLOTS-raw'!B$3)</f>
        <v>120960</v>
      </c>
      <c r="C8" s="167">
        <f>SUMIFS('Larvae Collection'!$R:$R, 'Larvae Collection'!$A:$A,'SPAWNING PLOTS-raw'!$A8, 'Larvae Collection'!$D:$D, 'SPAWNING PLOTS-raw'!C$3)</f>
        <v>359040</v>
      </c>
      <c r="D8" s="167">
        <f>SUMIFS('Larvae Collection'!$R:$R, 'Larvae Collection'!$A:$A,'SPAWNING PLOTS-raw'!$A8, 'Larvae Collection'!$D:$D, 'SPAWNING PLOTS-raw'!D$3)</f>
        <v>0</v>
      </c>
      <c r="E8" s="167">
        <f>SUMIFS('Larvae Collection'!$R:$R, 'Larvae Collection'!$A:$A,'SPAWNING PLOTS-raw'!$A8, 'Larvae Collection'!$D:$D, 'SPAWNING PLOTS-raw'!E$3)</f>
        <v>267866.66666666669</v>
      </c>
      <c r="F8" s="167">
        <f>SUMIFS('Larvae Collection'!$R:$R, 'Larvae Collection'!$A:$A,'SPAWNING PLOTS-raw'!$A8, 'Larvae Collection'!$D:$D, 'SPAWNING PLOTS-raw'!F$3)</f>
        <v>0</v>
      </c>
      <c r="G8" s="167">
        <f>SUMIFS('Larvae Collection'!$R:$R, 'Larvae Collection'!$A:$A,'SPAWNING PLOTS-raw'!$A8, 'Larvae Collection'!$D:$D, 'SPAWNING PLOTS-raw'!G$3)</f>
        <v>0</v>
      </c>
      <c r="H8" s="167">
        <f>SUMIFS('Larvae Collection'!$R:$R, 'Larvae Collection'!$A:$A,'SPAWNING PLOTS-raw'!$A8, 'Larvae Collection'!$D:$D, 'SPAWNING PLOTS-raw'!H$3)</f>
        <v>0</v>
      </c>
      <c r="I8" s="167">
        <f>SUMIFS('Larvae Collection'!$R:$R, 'Larvae Collection'!$A:$A,'SPAWNING PLOTS-raw'!$A8, 'Larvae Collection'!$D:$D, 'SPAWNING PLOTS-raw'!I$3)</f>
        <v>0</v>
      </c>
      <c r="J8" s="168">
        <f>SUMIFS('Larvae Collection'!$R:$R, 'Larvae Collection'!$A:$A,'SPAWNING PLOTS-raw'!$A8, 'Larvae Collection'!$D:$D, 'SPAWNING PLOTS-raw'!J$3)</f>
        <v>0</v>
      </c>
      <c r="K8" s="167">
        <f>SUMIFS('Larvae Collection'!$R:$R, 'Larvae Collection'!$A:$A,'SPAWNING PLOTS-raw'!$A8, 'Larvae Collection'!$D:$D, 'SPAWNING PLOTS-raw'!K$3)</f>
        <v>0</v>
      </c>
      <c r="L8" s="167">
        <f>SUMIFS('Larvae Collection'!$R:$R, 'Larvae Collection'!$A:$A,'SPAWNING PLOTS-raw'!$A8, 'Larvae Collection'!$D:$D, 'SPAWNING PLOTS-raw'!L$3)</f>
        <v>0</v>
      </c>
      <c r="M8" s="168">
        <f>SUMIFS('Larvae Collection'!$R:$R, 'Larvae Collection'!$A:$A,'SPAWNING PLOTS-raw'!$A8, 'Larvae Collection'!$D:$D, 'SPAWNING PLOTS-raw'!M$3)</f>
        <v>0</v>
      </c>
      <c r="N8" s="167">
        <f>SUMIFS('Larvae Collection'!$R:$R, 'Larvae Collection'!$A:$A,'SPAWNING PLOTS-raw'!$A8, 'Larvae Collection'!$D:$D, 'SPAWNING PLOTS-raw'!N$3)</f>
        <v>0</v>
      </c>
      <c r="O8" s="167">
        <f>SUMIFS('Larvae Collection'!$R:$R, 'Larvae Collection'!$A:$A,'SPAWNING PLOTS-raw'!$A8, 'Larvae Collection'!$D:$D, 'SPAWNING PLOTS-raw'!O$3)</f>
        <v>33526.666666666664</v>
      </c>
      <c r="P8" s="167">
        <f>SUMIFS('Larvae Collection'!$R:$R, 'Larvae Collection'!$A:$A,'SPAWNING PLOTS-raw'!$A8, 'Larvae Collection'!$D:$D, 'SPAWNING PLOTS-raw'!P$3)</f>
        <v>41946.666666666672</v>
      </c>
      <c r="Q8" s="167">
        <f>SUMIFS('Larvae Collection'!$R:$R, 'Larvae Collection'!$A:$A,'SPAWNING PLOTS-raw'!$A8, 'Larvae Collection'!$D:$D, 'SPAWNING PLOTS-raw'!Q$3)</f>
        <v>445200</v>
      </c>
      <c r="R8" s="151">
        <f t="shared" si="1"/>
        <v>187840</v>
      </c>
      <c r="S8" s="151">
        <f t="shared" si="2"/>
        <v>862240</v>
      </c>
      <c r="T8" s="151">
        <f t="shared" si="3"/>
        <v>687486.66666666674</v>
      </c>
      <c r="U8" s="151">
        <f t="shared" si="4"/>
        <v>595938.09523809527</v>
      </c>
      <c r="V8" s="151">
        <f t="shared" si="5"/>
        <v>359292.38095238095</v>
      </c>
      <c r="W8" s="151">
        <f t="shared" si="6"/>
        <v>803093.33333333326</v>
      </c>
      <c r="X8" s="151">
        <f t="shared" si="7"/>
        <v>1498059.9999999998</v>
      </c>
      <c r="Y8" s="151">
        <f t="shared" si="8"/>
        <v>787283.33333333326</v>
      </c>
      <c r="Z8" s="151">
        <f t="shared" si="9"/>
        <v>0</v>
      </c>
      <c r="AA8" s="151">
        <f t="shared" si="10"/>
        <v>0</v>
      </c>
      <c r="AB8" s="151">
        <f t="shared" si="11"/>
        <v>0</v>
      </c>
      <c r="AC8" s="151">
        <f t="shared" si="12"/>
        <v>0</v>
      </c>
      <c r="AD8" s="151">
        <f t="shared" si="13"/>
        <v>412160</v>
      </c>
      <c r="AE8" s="151">
        <f t="shared" si="14"/>
        <v>915296.66666666663</v>
      </c>
      <c r="AF8" s="151">
        <f t="shared" si="15"/>
        <v>793146.66666666663</v>
      </c>
      <c r="AG8" s="151">
        <f t="shared" si="16"/>
        <v>522177.77777777775</v>
      </c>
    </row>
    <row r="9" spans="1:33" ht="21" x14ac:dyDescent="0.25">
      <c r="A9" s="166">
        <v>43194</v>
      </c>
      <c r="B9" s="167">
        <f>SUMIFS('Larvae Collection'!$R:$R, 'Larvae Collection'!$A:$A,'SPAWNING PLOTS-raw'!$A9, 'Larvae Collection'!$D:$D, 'SPAWNING PLOTS-raw'!B$3)</f>
        <v>642222.22222222225</v>
      </c>
      <c r="C9" s="167">
        <f>SUMIFS('Larvae Collection'!$R:$R, 'Larvae Collection'!$A:$A,'SPAWNING PLOTS-raw'!$A9, 'Larvae Collection'!$D:$D, 'SPAWNING PLOTS-raw'!C$3)</f>
        <v>202346.66666666666</v>
      </c>
      <c r="D9" s="167">
        <f>SUMIFS('Larvae Collection'!$R:$R, 'Larvae Collection'!$A:$A,'SPAWNING PLOTS-raw'!$A9, 'Larvae Collection'!$D:$D, 'SPAWNING PLOTS-raw'!D$3)</f>
        <v>704541.66666666663</v>
      </c>
      <c r="E9" s="167">
        <f>SUMIFS('Larvae Collection'!$R:$R, 'Larvae Collection'!$A:$A,'SPAWNING PLOTS-raw'!$A9, 'Larvae Collection'!$D:$D, 'SPAWNING PLOTS-raw'!E$3)</f>
        <v>0</v>
      </c>
      <c r="F9" s="167">
        <f>SUMIFS('Larvae Collection'!$R:$R, 'Larvae Collection'!$A:$A,'SPAWNING PLOTS-raw'!$A9, 'Larvae Collection'!$D:$D, 'SPAWNING PLOTS-raw'!F$3)</f>
        <v>0</v>
      </c>
      <c r="G9" s="167">
        <f>SUMIFS('Larvae Collection'!$R:$R, 'Larvae Collection'!$A:$A,'SPAWNING PLOTS-raw'!$A9, 'Larvae Collection'!$D:$D, 'SPAWNING PLOTS-raw'!G$3)</f>
        <v>0</v>
      </c>
      <c r="H9" s="167">
        <f>SUMIFS('Larvae Collection'!$R:$R, 'Larvae Collection'!$A:$A,'SPAWNING PLOTS-raw'!$A9, 'Larvae Collection'!$D:$D, 'SPAWNING PLOTS-raw'!H$3)</f>
        <v>0</v>
      </c>
      <c r="I9" s="167">
        <f>SUMIFS('Larvae Collection'!$R:$R, 'Larvae Collection'!$A:$A,'SPAWNING PLOTS-raw'!$A9, 'Larvae Collection'!$D:$D, 'SPAWNING PLOTS-raw'!I$3)</f>
        <v>570266.66666666663</v>
      </c>
      <c r="J9" s="167">
        <f>SUMIFS('Larvae Collection'!$R:$R, 'Larvae Collection'!$A:$A,'SPAWNING PLOTS-raw'!$A9, 'Larvae Collection'!$D:$D, 'SPAWNING PLOTS-raw'!J$3)</f>
        <v>0</v>
      </c>
      <c r="K9" s="167">
        <f>SUMIFS('Larvae Collection'!$R:$R, 'Larvae Collection'!$A:$A,'SPAWNING PLOTS-raw'!$A9, 'Larvae Collection'!$D:$D, 'SPAWNING PLOTS-raw'!K$3)</f>
        <v>68400</v>
      </c>
      <c r="L9" s="167">
        <f>SUMIFS('Larvae Collection'!$R:$R, 'Larvae Collection'!$A:$A,'SPAWNING PLOTS-raw'!$A9, 'Larvae Collection'!$D:$D, 'SPAWNING PLOTS-raw'!L$3)</f>
        <v>189466.66666666666</v>
      </c>
      <c r="M9" s="167">
        <f>SUMIFS('Larvae Collection'!$R:$R, 'Larvae Collection'!$A:$A,'SPAWNING PLOTS-raw'!$A9, 'Larvae Collection'!$D:$D, 'SPAWNING PLOTS-raw'!M$3)</f>
        <v>191166.66666666666</v>
      </c>
      <c r="N9" s="167">
        <f>SUMIFS('Larvae Collection'!$R:$R, 'Larvae Collection'!$A:$A,'SPAWNING PLOTS-raw'!$A9, 'Larvae Collection'!$D:$D, 'SPAWNING PLOTS-raw'!N$3)</f>
        <v>0</v>
      </c>
      <c r="O9" s="167">
        <f>SUMIFS('Larvae Collection'!$R:$R, 'Larvae Collection'!$A:$A,'SPAWNING PLOTS-raw'!$A9, 'Larvae Collection'!$D:$D, 'SPAWNING PLOTS-raw'!O$3)</f>
        <v>207400</v>
      </c>
      <c r="P9" s="167">
        <f>SUMIFS('Larvae Collection'!$R:$R, 'Larvae Collection'!$A:$A,'SPAWNING PLOTS-raw'!$A9, 'Larvae Collection'!$D:$D, 'SPAWNING PLOTS-raw'!P$3)</f>
        <v>0</v>
      </c>
      <c r="Q9" s="167">
        <f>SUMIFS('Larvae Collection'!$R:$R, 'Larvae Collection'!$A:$A,'SPAWNING PLOTS-raw'!$A9, 'Larvae Collection'!$D:$D, 'SPAWNING PLOTS-raw'!Q$3)</f>
        <v>78300</v>
      </c>
      <c r="R9" s="151">
        <f t="shared" si="1"/>
        <v>830062.22222222225</v>
      </c>
      <c r="S9" s="151">
        <f t="shared" si="2"/>
        <v>1064586.6666666667</v>
      </c>
      <c r="T9" s="151">
        <f t="shared" si="3"/>
        <v>1392028.3333333335</v>
      </c>
      <c r="U9" s="151">
        <f t="shared" si="4"/>
        <v>595938.09523809527</v>
      </c>
      <c r="V9" s="151">
        <f t="shared" si="5"/>
        <v>359292.38095238095</v>
      </c>
      <c r="W9" s="151">
        <f t="shared" si="6"/>
        <v>803093.33333333326</v>
      </c>
      <c r="X9" s="151">
        <f t="shared" si="7"/>
        <v>1498059.9999999998</v>
      </c>
      <c r="Y9" s="151">
        <f t="shared" si="8"/>
        <v>1357550</v>
      </c>
      <c r="Z9" s="151">
        <f t="shared" si="9"/>
        <v>0</v>
      </c>
      <c r="AA9" s="151">
        <f t="shared" si="10"/>
        <v>68400</v>
      </c>
      <c r="AB9" s="151">
        <f t="shared" si="11"/>
        <v>189466.66666666666</v>
      </c>
      <c r="AC9" s="151">
        <f t="shared" si="12"/>
        <v>191166.66666666666</v>
      </c>
      <c r="AD9" s="151">
        <f t="shared" si="13"/>
        <v>412160</v>
      </c>
      <c r="AE9" s="151">
        <f t="shared" si="14"/>
        <v>1122696.6666666665</v>
      </c>
      <c r="AF9" s="151">
        <f t="shared" si="15"/>
        <v>793146.66666666663</v>
      </c>
      <c r="AG9" s="151">
        <f t="shared" si="16"/>
        <v>600477.77777777775</v>
      </c>
    </row>
    <row r="10" spans="1:33" ht="21" x14ac:dyDescent="0.25">
      <c r="A10" s="166">
        <v>43195</v>
      </c>
      <c r="B10" s="167">
        <f>SUMIFS('Larvae Collection'!$R:$R, 'Larvae Collection'!$A:$A,'SPAWNING PLOTS-raw'!$A10, 'Larvae Collection'!$D:$D, 'SPAWNING PLOTS-raw'!B$3)</f>
        <v>0</v>
      </c>
      <c r="C10" s="167">
        <f>SUMIFS('Larvae Collection'!$R:$R, 'Larvae Collection'!$A:$A,'SPAWNING PLOTS-raw'!$A10, 'Larvae Collection'!$D:$D, 'SPAWNING PLOTS-raw'!C$3)</f>
        <v>0</v>
      </c>
      <c r="D10" s="167">
        <f>SUMIFS('Larvae Collection'!$R:$R, 'Larvae Collection'!$A:$A,'SPAWNING PLOTS-raw'!$A10, 'Larvae Collection'!$D:$D, 'SPAWNING PLOTS-raw'!D$3)</f>
        <v>0</v>
      </c>
      <c r="E10" s="167">
        <f>SUMIFS('Larvae Collection'!$R:$R, 'Larvae Collection'!$A:$A,'SPAWNING PLOTS-raw'!$A10, 'Larvae Collection'!$D:$D, 'SPAWNING PLOTS-raw'!E$3)</f>
        <v>0</v>
      </c>
      <c r="F10" s="167">
        <f>SUMIFS('Larvae Collection'!$R:$R, 'Larvae Collection'!$A:$A,'SPAWNING PLOTS-raw'!$A10, 'Larvae Collection'!$D:$D, 'SPAWNING PLOTS-raw'!F$3)</f>
        <v>412800</v>
      </c>
      <c r="G10" s="167">
        <f>SUMIFS('Larvae Collection'!$R:$R, 'Larvae Collection'!$A:$A,'SPAWNING PLOTS-raw'!$A10, 'Larvae Collection'!$D:$D, 'SPAWNING PLOTS-raw'!G$3)</f>
        <v>0</v>
      </c>
      <c r="H10" s="167">
        <f>SUMIFS('Larvae Collection'!$R:$R, 'Larvae Collection'!$A:$A,'SPAWNING PLOTS-raw'!$A10, 'Larvae Collection'!$D:$D, 'SPAWNING PLOTS-raw'!H$3)</f>
        <v>232750</v>
      </c>
      <c r="I10" s="167">
        <f>SUMIFS('Larvae Collection'!$R:$R, 'Larvae Collection'!$A:$A,'SPAWNING PLOTS-raw'!$A10, 'Larvae Collection'!$D:$D, 'SPAWNING PLOTS-raw'!I$3)</f>
        <v>0</v>
      </c>
      <c r="J10" s="167">
        <f>SUMIFS('Larvae Collection'!$R:$R, 'Larvae Collection'!$A:$A,'SPAWNING PLOTS-raw'!$A10, 'Larvae Collection'!$D:$D, 'SPAWNING PLOTS-raw'!J$3)</f>
        <v>0</v>
      </c>
      <c r="K10" s="167">
        <f>SUMIFS('Larvae Collection'!$R:$R, 'Larvae Collection'!$A:$A,'SPAWNING PLOTS-raw'!$A10, 'Larvae Collection'!$D:$D, 'SPAWNING PLOTS-raw'!K$3)</f>
        <v>582666.66666666674</v>
      </c>
      <c r="L10" s="167">
        <f>SUMIFS('Larvae Collection'!$R:$R, 'Larvae Collection'!$A:$A,'SPAWNING PLOTS-raw'!$A10, 'Larvae Collection'!$D:$D, 'SPAWNING PLOTS-raw'!L$3)</f>
        <v>0</v>
      </c>
      <c r="M10" s="167">
        <f>SUMIFS('Larvae Collection'!$R:$R, 'Larvae Collection'!$A:$A,'SPAWNING PLOTS-raw'!$A10, 'Larvae Collection'!$D:$D, 'SPAWNING PLOTS-raw'!M$3)</f>
        <v>0</v>
      </c>
      <c r="N10" s="167">
        <f>SUMIFS('Larvae Collection'!$R:$R, 'Larvae Collection'!$A:$A,'SPAWNING PLOTS-raw'!$A10, 'Larvae Collection'!$D:$D, 'SPAWNING PLOTS-raw'!N$3)</f>
        <v>328700</v>
      </c>
      <c r="O10" s="167">
        <f>SUMIFS('Larvae Collection'!$R:$R, 'Larvae Collection'!$A:$A,'SPAWNING PLOTS-raw'!$A10, 'Larvae Collection'!$D:$D, 'SPAWNING PLOTS-raw'!O$3)</f>
        <v>136000</v>
      </c>
      <c r="P10" s="167">
        <f>SUMIFS('Larvae Collection'!$R:$R, 'Larvae Collection'!$A:$A,'SPAWNING PLOTS-raw'!$A10, 'Larvae Collection'!$D:$D, 'SPAWNING PLOTS-raw'!P$3)</f>
        <v>0</v>
      </c>
      <c r="Q10" s="167">
        <f>SUMIFS('Larvae Collection'!$R:$R, 'Larvae Collection'!$A:$A,'SPAWNING PLOTS-raw'!$A10, 'Larvae Collection'!$D:$D, 'SPAWNING PLOTS-raw'!Q$3)</f>
        <v>429600</v>
      </c>
      <c r="R10" s="151">
        <f t="shared" si="1"/>
        <v>830062.22222222225</v>
      </c>
      <c r="S10" s="151">
        <f t="shared" si="2"/>
        <v>1064586.6666666667</v>
      </c>
      <c r="T10" s="151">
        <f t="shared" si="3"/>
        <v>1392028.3333333335</v>
      </c>
      <c r="U10" s="151">
        <f t="shared" si="4"/>
        <v>595938.09523809527</v>
      </c>
      <c r="V10" s="151">
        <f t="shared" si="5"/>
        <v>772092.38095238095</v>
      </c>
      <c r="W10" s="151">
        <f t="shared" si="6"/>
        <v>803093.33333333326</v>
      </c>
      <c r="X10" s="151">
        <f t="shared" si="7"/>
        <v>1730809.9999999998</v>
      </c>
      <c r="Y10" s="151">
        <f t="shared" si="8"/>
        <v>1357550</v>
      </c>
      <c r="Z10" s="151">
        <f t="shared" si="9"/>
        <v>0</v>
      </c>
      <c r="AA10" s="151">
        <f t="shared" si="10"/>
        <v>651066.66666666674</v>
      </c>
      <c r="AB10" s="151">
        <f t="shared" si="11"/>
        <v>189466.66666666666</v>
      </c>
      <c r="AC10" s="151">
        <f t="shared" si="12"/>
        <v>191166.66666666666</v>
      </c>
      <c r="AD10" s="151">
        <f t="shared" si="13"/>
        <v>740860</v>
      </c>
      <c r="AE10" s="151">
        <f t="shared" si="14"/>
        <v>1258696.6666666665</v>
      </c>
      <c r="AF10" s="151">
        <f t="shared" si="15"/>
        <v>793146.66666666663</v>
      </c>
      <c r="AG10" s="151">
        <f t="shared" si="16"/>
        <v>1030077.7777777778</v>
      </c>
    </row>
    <row r="11" spans="1:33" ht="21" x14ac:dyDescent="0.25">
      <c r="A11" s="166">
        <v>43196</v>
      </c>
      <c r="B11" s="167">
        <f>SUMIFS('Larvae Collection'!$R:$R, 'Larvae Collection'!$A:$A,'SPAWNING PLOTS-raw'!$A11, 'Larvae Collection'!$D:$D, 'SPAWNING PLOTS-raw'!B$3)</f>
        <v>0</v>
      </c>
      <c r="C11" s="167">
        <f>SUMIFS('Larvae Collection'!$R:$R, 'Larvae Collection'!$A:$A,'SPAWNING PLOTS-raw'!$A11, 'Larvae Collection'!$D:$D, 'SPAWNING PLOTS-raw'!C$3)</f>
        <v>311000</v>
      </c>
      <c r="D11" s="167">
        <f>SUMIFS('Larvae Collection'!$R:$R, 'Larvae Collection'!$A:$A,'SPAWNING PLOTS-raw'!$A11, 'Larvae Collection'!$D:$D, 'SPAWNING PLOTS-raw'!D$3)</f>
        <v>298466.66666666669</v>
      </c>
      <c r="E11" s="167">
        <f>SUMIFS('Larvae Collection'!$R:$R, 'Larvae Collection'!$A:$A,'SPAWNING PLOTS-raw'!$A11, 'Larvae Collection'!$D:$D, 'SPAWNING PLOTS-raw'!E$3)</f>
        <v>0</v>
      </c>
      <c r="F11" s="167">
        <f>SUMIFS('Larvae Collection'!$R:$R, 'Larvae Collection'!$A:$A,'SPAWNING PLOTS-raw'!$A11, 'Larvae Collection'!$D:$D, 'SPAWNING PLOTS-raw'!F$3)</f>
        <v>0</v>
      </c>
      <c r="G11" s="167">
        <f>SUMIFS('Larvae Collection'!$R:$R, 'Larvae Collection'!$A:$A,'SPAWNING PLOTS-raw'!$A11, 'Larvae Collection'!$D:$D, 'SPAWNING PLOTS-raw'!G$3)</f>
        <v>0</v>
      </c>
      <c r="H11" s="167">
        <f>SUMIFS('Larvae Collection'!$R:$R, 'Larvae Collection'!$A:$A,'SPAWNING PLOTS-raw'!$A11, 'Larvae Collection'!$D:$D, 'SPAWNING PLOTS-raw'!H$3)</f>
        <v>143100</v>
      </c>
      <c r="I11" s="167">
        <f>SUMIFS('Larvae Collection'!$R:$R, 'Larvae Collection'!$A:$A,'SPAWNING PLOTS-raw'!$A11, 'Larvae Collection'!$D:$D, 'SPAWNING PLOTS-raw'!I$3)</f>
        <v>0</v>
      </c>
      <c r="J11" s="167">
        <f>SUMIFS('Larvae Collection'!$R:$R, 'Larvae Collection'!$A:$A,'SPAWNING PLOTS-raw'!$A11, 'Larvae Collection'!$D:$D, 'SPAWNING PLOTS-raw'!J$3)</f>
        <v>0</v>
      </c>
      <c r="K11" s="167">
        <f>SUMIFS('Larvae Collection'!$R:$R, 'Larvae Collection'!$A:$A,'SPAWNING PLOTS-raw'!$A11, 'Larvae Collection'!$D:$D, 'SPAWNING PLOTS-raw'!K$3)</f>
        <v>0</v>
      </c>
      <c r="L11" s="167">
        <f>SUMIFS('Larvae Collection'!$R:$R, 'Larvae Collection'!$A:$A,'SPAWNING PLOTS-raw'!$A11, 'Larvae Collection'!$D:$D, 'SPAWNING PLOTS-raw'!L$3)</f>
        <v>0</v>
      </c>
      <c r="M11" s="167">
        <f>SUMIFS('Larvae Collection'!$R:$R, 'Larvae Collection'!$A:$A,'SPAWNING PLOTS-raw'!$A11, 'Larvae Collection'!$D:$D, 'SPAWNING PLOTS-raw'!M$3)</f>
        <v>0</v>
      </c>
      <c r="N11" s="167">
        <f>SUMIFS('Larvae Collection'!$R:$R, 'Larvae Collection'!$A:$A,'SPAWNING PLOTS-raw'!$A11, 'Larvae Collection'!$D:$D, 'SPAWNING PLOTS-raw'!N$3)</f>
        <v>67320</v>
      </c>
      <c r="O11" s="167">
        <f>SUMIFS('Larvae Collection'!$R:$R, 'Larvae Collection'!$A:$A,'SPAWNING PLOTS-raw'!$A11, 'Larvae Collection'!$D:$D, 'SPAWNING PLOTS-raw'!O$3)</f>
        <v>12685.714285714286</v>
      </c>
      <c r="P11" s="167">
        <f>SUMIFS('Larvae Collection'!$R:$R, 'Larvae Collection'!$A:$A,'SPAWNING PLOTS-raw'!$A11, 'Larvae Collection'!$D:$D, 'SPAWNING PLOTS-raw'!P$3)</f>
        <v>0</v>
      </c>
      <c r="Q11" s="167">
        <f>SUMIFS('Larvae Collection'!$R:$R, 'Larvae Collection'!$A:$A,'SPAWNING PLOTS-raw'!$A11, 'Larvae Collection'!$D:$D, 'SPAWNING PLOTS-raw'!Q$3)</f>
        <v>0</v>
      </c>
      <c r="R11" s="151">
        <f t="shared" si="1"/>
        <v>830062.22222222225</v>
      </c>
      <c r="S11" s="151">
        <f t="shared" si="2"/>
        <v>1375586.6666666667</v>
      </c>
      <c r="T11" s="151">
        <f t="shared" si="3"/>
        <v>1690495.0000000002</v>
      </c>
      <c r="U11" s="151">
        <f t="shared" si="4"/>
        <v>595938.09523809527</v>
      </c>
      <c r="V11" s="151">
        <f t="shared" si="5"/>
        <v>772092.38095238095</v>
      </c>
      <c r="W11" s="151">
        <f t="shared" si="6"/>
        <v>803093.33333333326</v>
      </c>
      <c r="X11" s="151">
        <f t="shared" si="7"/>
        <v>1873909.9999999998</v>
      </c>
      <c r="Y11" s="151">
        <f t="shared" si="8"/>
        <v>1357550</v>
      </c>
      <c r="Z11" s="151">
        <f t="shared" si="9"/>
        <v>0</v>
      </c>
      <c r="AA11" s="151">
        <f t="shared" si="10"/>
        <v>651066.66666666674</v>
      </c>
      <c r="AB11" s="151">
        <f t="shared" si="11"/>
        <v>189466.66666666666</v>
      </c>
      <c r="AC11" s="151">
        <f t="shared" si="12"/>
        <v>191166.66666666666</v>
      </c>
      <c r="AD11" s="151">
        <f t="shared" si="13"/>
        <v>808180</v>
      </c>
      <c r="AE11" s="151">
        <f t="shared" si="14"/>
        <v>1271382.3809523808</v>
      </c>
      <c r="AF11" s="151">
        <f t="shared" si="15"/>
        <v>793146.66666666663</v>
      </c>
      <c r="AG11" s="151">
        <f t="shared" si="16"/>
        <v>1030077.7777777778</v>
      </c>
    </row>
    <row r="12" spans="1:33" s="154" customFormat="1" ht="22" thickBot="1" x14ac:dyDescent="0.3">
      <c r="A12" s="166">
        <v>43197</v>
      </c>
      <c r="B12" s="167">
        <f>SUMIFS('Larvae Collection'!$R:$R, 'Larvae Collection'!$A:$A,'SPAWNING PLOTS-raw'!$A12, 'Larvae Collection'!$D:$D, 'SPAWNING PLOTS-raw'!B$3)</f>
        <v>9450</v>
      </c>
      <c r="C12" s="167">
        <f>SUMIFS('Larvae Collection'!$R:$R, 'Larvae Collection'!$A:$A,'SPAWNING PLOTS-raw'!$A12, 'Larvae Collection'!$D:$D, 'SPAWNING PLOTS-raw'!C$3)</f>
        <v>10340</v>
      </c>
      <c r="D12" s="167">
        <f>SUMIFS('Larvae Collection'!$R:$R, 'Larvae Collection'!$A:$A,'SPAWNING PLOTS-raw'!$A12, 'Larvae Collection'!$D:$D, 'SPAWNING PLOTS-raw'!D$3)</f>
        <v>26526.666666666664</v>
      </c>
      <c r="E12" s="167">
        <f>SUMIFS('Larvae Collection'!$R:$R, 'Larvae Collection'!$A:$A,'SPAWNING PLOTS-raw'!$A12, 'Larvae Collection'!$D:$D, 'SPAWNING PLOTS-raw'!E$3)</f>
        <v>9600</v>
      </c>
      <c r="F12" s="167">
        <f>SUMIFS('Larvae Collection'!$R:$R, 'Larvae Collection'!$A:$A,'SPAWNING PLOTS-raw'!$A12, 'Larvae Collection'!$D:$D, 'SPAWNING PLOTS-raw'!F$3)</f>
        <v>33626.666666666672</v>
      </c>
      <c r="G12" s="167">
        <f>SUMIFS('Larvae Collection'!$R:$R, 'Larvae Collection'!$A:$A,'SPAWNING PLOTS-raw'!$A12, 'Larvae Collection'!$D:$D, 'SPAWNING PLOTS-raw'!G$3)</f>
        <v>0</v>
      </c>
      <c r="H12" s="167">
        <f>SUMIFS('Larvae Collection'!$R:$R, 'Larvae Collection'!$A:$A,'SPAWNING PLOTS-raw'!$A12, 'Larvae Collection'!$D:$D, 'SPAWNING PLOTS-raw'!H$3)</f>
        <v>1144000</v>
      </c>
      <c r="I12" s="167">
        <f>SUMIFS('Larvae Collection'!$R:$R, 'Larvae Collection'!$A:$A,'SPAWNING PLOTS-raw'!$A12, 'Larvae Collection'!$D:$D, 'SPAWNING PLOTS-raw'!I$3)</f>
        <v>178111.11111111109</v>
      </c>
      <c r="J12" s="167">
        <f>SUMIFS('Larvae Collection'!$R:$R, 'Larvae Collection'!$A:$A,'SPAWNING PLOTS-raw'!$A12, 'Larvae Collection'!$D:$D, 'SPAWNING PLOTS-raw'!J$3)</f>
        <v>150960</v>
      </c>
      <c r="K12" s="167">
        <f>SUMIFS('Larvae Collection'!$R:$R, 'Larvae Collection'!$A:$A,'SPAWNING PLOTS-raw'!$A12, 'Larvae Collection'!$D:$D, 'SPAWNING PLOTS-raw'!K$3)</f>
        <v>24000</v>
      </c>
      <c r="L12" s="167">
        <f>SUMIFS('Larvae Collection'!$R:$R, 'Larvae Collection'!$A:$A,'SPAWNING PLOTS-raw'!$A12, 'Larvae Collection'!$D:$D, 'SPAWNING PLOTS-raw'!L$3)</f>
        <v>91933.333333333343</v>
      </c>
      <c r="M12" s="167">
        <f>SUMIFS('Larvae Collection'!$R:$R, 'Larvae Collection'!$A:$A,'SPAWNING PLOTS-raw'!$A12, 'Larvae Collection'!$D:$D, 'SPAWNING PLOTS-raw'!M$3)</f>
        <v>0</v>
      </c>
      <c r="N12" s="167">
        <f>SUMIFS('Larvae Collection'!$R:$R, 'Larvae Collection'!$A:$A,'SPAWNING PLOTS-raw'!$A12, 'Larvae Collection'!$D:$D, 'SPAWNING PLOTS-raw'!N$3)</f>
        <v>0</v>
      </c>
      <c r="O12" s="167">
        <f>SUMIFS('Larvae Collection'!$R:$R, 'Larvae Collection'!$A:$A,'SPAWNING PLOTS-raw'!$A12, 'Larvae Collection'!$D:$D, 'SPAWNING PLOTS-raw'!O$3)</f>
        <v>342500</v>
      </c>
      <c r="P12" s="167">
        <f>SUMIFS('Larvae Collection'!$R:$R, 'Larvae Collection'!$A:$A,'SPAWNING PLOTS-raw'!$A12, 'Larvae Collection'!$D:$D, 'SPAWNING PLOTS-raw'!P$3)</f>
        <v>94400</v>
      </c>
      <c r="Q12" s="167">
        <f>SUMIFS('Larvae Collection'!$R:$R, 'Larvae Collection'!$A:$A,'SPAWNING PLOTS-raw'!$A12, 'Larvae Collection'!$D:$D, 'SPAWNING PLOTS-raw'!Q$3)</f>
        <v>942500</v>
      </c>
      <c r="R12" s="151">
        <f t="shared" si="1"/>
        <v>839512.22222222225</v>
      </c>
      <c r="S12" s="151">
        <f t="shared" si="2"/>
        <v>1385926.6666666667</v>
      </c>
      <c r="T12" s="151">
        <f t="shared" si="3"/>
        <v>1717021.666666667</v>
      </c>
      <c r="U12" s="151">
        <f t="shared" si="4"/>
        <v>605538.09523809527</v>
      </c>
      <c r="V12" s="151">
        <f t="shared" si="5"/>
        <v>805719.04761904757</v>
      </c>
      <c r="W12" s="151">
        <f t="shared" si="6"/>
        <v>803093.33333333326</v>
      </c>
      <c r="X12" s="151">
        <f t="shared" si="7"/>
        <v>3017910</v>
      </c>
      <c r="Y12" s="151">
        <f t="shared" si="8"/>
        <v>1535661.111111111</v>
      </c>
      <c r="Z12" s="151">
        <f t="shared" si="9"/>
        <v>150960</v>
      </c>
      <c r="AA12" s="151">
        <f t="shared" si="10"/>
        <v>675066.66666666674</v>
      </c>
      <c r="AB12" s="151">
        <f t="shared" si="11"/>
        <v>281400</v>
      </c>
      <c r="AC12" s="151">
        <f t="shared" si="12"/>
        <v>191166.66666666666</v>
      </c>
      <c r="AD12" s="151">
        <f t="shared" si="13"/>
        <v>808180</v>
      </c>
      <c r="AE12" s="151">
        <f t="shared" si="14"/>
        <v>1613882.3809523808</v>
      </c>
      <c r="AF12" s="151">
        <f t="shared" si="15"/>
        <v>887546.66666666663</v>
      </c>
      <c r="AG12" s="151">
        <f t="shared" si="16"/>
        <v>1972577.7777777778</v>
      </c>
    </row>
    <row r="13" spans="1:33" ht="22" thickTop="1" x14ac:dyDescent="0.25">
      <c r="A13" s="166">
        <v>43198</v>
      </c>
      <c r="B13" s="167">
        <f>SUMIFS('Larvae Collection'!$R:$R, 'Larvae Collection'!$A:$A,'SPAWNING PLOTS-raw'!$A13, 'Larvae Collection'!$D:$D, 'SPAWNING PLOTS-raw'!B$3)</f>
        <v>2069333.3333333335</v>
      </c>
      <c r="C13" s="167">
        <f>SUMIFS('Larvae Collection'!$R:$R, 'Larvae Collection'!$A:$A,'SPAWNING PLOTS-raw'!$A13, 'Larvae Collection'!$D:$D, 'SPAWNING PLOTS-raw'!C$3)</f>
        <v>1369000</v>
      </c>
      <c r="D13" s="167">
        <f>SUMIFS('Larvae Collection'!$R:$R, 'Larvae Collection'!$A:$A,'SPAWNING PLOTS-raw'!$A13, 'Larvae Collection'!$D:$D, 'SPAWNING PLOTS-raw'!D$3)</f>
        <v>0</v>
      </c>
      <c r="E13" s="167">
        <f>SUMIFS('Larvae Collection'!$R:$R, 'Larvae Collection'!$A:$A,'SPAWNING PLOTS-raw'!$A13, 'Larvae Collection'!$D:$D, 'SPAWNING PLOTS-raw'!E$3)</f>
        <v>238000</v>
      </c>
      <c r="F13" s="167">
        <f>SUMIFS('Larvae Collection'!$R:$R, 'Larvae Collection'!$A:$A,'SPAWNING PLOTS-raw'!$A13, 'Larvae Collection'!$D:$D, 'SPAWNING PLOTS-raw'!F$3)</f>
        <v>258966.66666666666</v>
      </c>
      <c r="G13" s="167">
        <f>SUMIFS('Larvae Collection'!$R:$R, 'Larvae Collection'!$A:$A,'SPAWNING PLOTS-raw'!$A13, 'Larvae Collection'!$D:$D, 'SPAWNING PLOTS-raw'!G$3)</f>
        <v>655200</v>
      </c>
      <c r="H13" s="168">
        <f>SUMIFS('Larvae Collection'!$R:$R, 'Larvae Collection'!$A:$A,'SPAWNING PLOTS-raw'!$A13, 'Larvae Collection'!$D:$D, 'SPAWNING PLOTS-raw'!H$3)</f>
        <v>0</v>
      </c>
      <c r="I13" s="168">
        <f>SUMIFS('Larvae Collection'!$R:$R, 'Larvae Collection'!$A:$A,'SPAWNING PLOTS-raw'!$A13, 'Larvae Collection'!$D:$D, 'SPAWNING PLOTS-raw'!I$3)</f>
        <v>309108.33333333337</v>
      </c>
      <c r="J13" s="167">
        <f>SUMIFS('Larvae Collection'!$R:$R, 'Larvae Collection'!$A:$A,'SPAWNING PLOTS-raw'!$A13, 'Larvae Collection'!$D:$D, 'SPAWNING PLOTS-raw'!J$3)</f>
        <v>1123733.3333333335</v>
      </c>
      <c r="K13" s="167">
        <f>SUMIFS('Larvae Collection'!$R:$R, 'Larvae Collection'!$A:$A,'SPAWNING PLOTS-raw'!$A13, 'Larvae Collection'!$D:$D, 'SPAWNING PLOTS-raw'!K$3)</f>
        <v>369177.77777777775</v>
      </c>
      <c r="L13" s="167">
        <f>SUMIFS('Larvae Collection'!$R:$R, 'Larvae Collection'!$A:$A,'SPAWNING PLOTS-raw'!$A13, 'Larvae Collection'!$D:$D, 'SPAWNING PLOTS-raw'!L$3)</f>
        <v>341100</v>
      </c>
      <c r="M13" s="167">
        <f>SUMIFS('Larvae Collection'!$R:$R, 'Larvae Collection'!$A:$A,'SPAWNING PLOTS-raw'!$A13, 'Larvae Collection'!$D:$D, 'SPAWNING PLOTS-raw'!M$3)</f>
        <v>0</v>
      </c>
      <c r="N13" s="167">
        <f>SUMIFS('Larvae Collection'!$R:$R, 'Larvae Collection'!$A:$A,'SPAWNING PLOTS-raw'!$A13, 'Larvae Collection'!$D:$D, 'SPAWNING PLOTS-raw'!N$3)</f>
        <v>1164000</v>
      </c>
      <c r="O13" s="167">
        <f>SUMIFS('Larvae Collection'!$R:$R, 'Larvae Collection'!$A:$A,'SPAWNING PLOTS-raw'!$A13, 'Larvae Collection'!$D:$D, 'SPAWNING PLOTS-raw'!O$3)</f>
        <v>537200</v>
      </c>
      <c r="P13" s="167">
        <f>SUMIFS('Larvae Collection'!$R:$R, 'Larvae Collection'!$A:$A,'SPAWNING PLOTS-raw'!$A13, 'Larvae Collection'!$D:$D, 'SPAWNING PLOTS-raw'!P$3)</f>
        <v>96666.666666666672</v>
      </c>
      <c r="Q13" s="167">
        <f>SUMIFS('Larvae Collection'!$R:$R, 'Larvae Collection'!$A:$A,'SPAWNING PLOTS-raw'!$A13, 'Larvae Collection'!$D:$D, 'SPAWNING PLOTS-raw'!Q$3)</f>
        <v>181125</v>
      </c>
      <c r="R13" s="151">
        <f t="shared" si="1"/>
        <v>2908845.555555556</v>
      </c>
      <c r="S13" s="151">
        <f t="shared" si="2"/>
        <v>2754926.666666667</v>
      </c>
      <c r="T13" s="151">
        <f t="shared" si="3"/>
        <v>1717021.666666667</v>
      </c>
      <c r="U13" s="151">
        <f t="shared" si="4"/>
        <v>843538.09523809527</v>
      </c>
      <c r="V13" s="151">
        <f t="shared" si="5"/>
        <v>1064685.7142857143</v>
      </c>
      <c r="W13" s="151">
        <f t="shared" si="6"/>
        <v>1458293.3333333333</v>
      </c>
      <c r="X13" s="151">
        <f t="shared" si="7"/>
        <v>3017910</v>
      </c>
      <c r="Y13" s="151">
        <f t="shared" si="8"/>
        <v>1844769.4444444445</v>
      </c>
      <c r="Z13" s="151">
        <f t="shared" si="9"/>
        <v>1274693.3333333335</v>
      </c>
      <c r="AA13" s="151">
        <f t="shared" si="10"/>
        <v>1044244.4444444445</v>
      </c>
      <c r="AB13" s="151">
        <f t="shared" si="11"/>
        <v>622500</v>
      </c>
      <c r="AC13" s="151">
        <f t="shared" si="12"/>
        <v>191166.66666666666</v>
      </c>
      <c r="AD13" s="151">
        <f t="shared" si="13"/>
        <v>1972180</v>
      </c>
      <c r="AE13" s="151">
        <f t="shared" si="14"/>
        <v>2151082.3809523806</v>
      </c>
      <c r="AF13" s="151">
        <f t="shared" si="15"/>
        <v>984213.33333333326</v>
      </c>
      <c r="AG13" s="151">
        <f t="shared" si="16"/>
        <v>2153702.777777778</v>
      </c>
    </row>
    <row r="14" spans="1:33" ht="21" x14ac:dyDescent="0.25">
      <c r="A14" s="166">
        <v>43199</v>
      </c>
      <c r="B14" s="167">
        <f>SUMIFS('Larvae Collection'!$R:$R, 'Larvae Collection'!$A:$A,'SPAWNING PLOTS-raw'!$A14, 'Larvae Collection'!$D:$D, 'SPAWNING PLOTS-raw'!B$3)</f>
        <v>84583.333333333328</v>
      </c>
      <c r="C14" s="167">
        <f>SUMIFS('Larvae Collection'!$R:$R, 'Larvae Collection'!$A:$A,'SPAWNING PLOTS-raw'!$A14, 'Larvae Collection'!$D:$D, 'SPAWNING PLOTS-raw'!C$3)</f>
        <v>0</v>
      </c>
      <c r="D14" s="167">
        <f>SUMIFS('Larvae Collection'!$R:$R, 'Larvae Collection'!$A:$A,'SPAWNING PLOTS-raw'!$A14, 'Larvae Collection'!$D:$D, 'SPAWNING PLOTS-raw'!D$3)</f>
        <v>0</v>
      </c>
      <c r="E14" s="167">
        <f>SUMIFS('Larvae Collection'!$R:$R, 'Larvae Collection'!$A:$A,'SPAWNING PLOTS-raw'!$A14, 'Larvae Collection'!$D:$D, 'SPAWNING PLOTS-raw'!E$3)</f>
        <v>0</v>
      </c>
      <c r="F14" s="167">
        <f>SUMIFS('Larvae Collection'!$R:$R, 'Larvae Collection'!$A:$A,'SPAWNING PLOTS-raw'!$A14, 'Larvae Collection'!$D:$D, 'SPAWNING PLOTS-raw'!F$3)</f>
        <v>0</v>
      </c>
      <c r="G14" s="167">
        <f>SUMIFS('Larvae Collection'!$R:$R, 'Larvae Collection'!$A:$A,'SPAWNING PLOTS-raw'!$A14, 'Larvae Collection'!$D:$D, 'SPAWNING PLOTS-raw'!G$3)</f>
        <v>812000</v>
      </c>
      <c r="H14" s="167">
        <f>SUMIFS('Larvae Collection'!$R:$R, 'Larvae Collection'!$A:$A,'SPAWNING PLOTS-raw'!$A14, 'Larvae Collection'!$D:$D, 'SPAWNING PLOTS-raw'!H$3)</f>
        <v>0</v>
      </c>
      <c r="I14" s="167">
        <f>SUMIFS('Larvae Collection'!$R:$R, 'Larvae Collection'!$A:$A,'SPAWNING PLOTS-raw'!$A14, 'Larvae Collection'!$D:$D, 'SPAWNING PLOTS-raw'!I$3)</f>
        <v>255577.77777777778</v>
      </c>
      <c r="J14" s="167">
        <f>SUMIFS('Larvae Collection'!$R:$R, 'Larvae Collection'!$A:$A,'SPAWNING PLOTS-raw'!$A14, 'Larvae Collection'!$D:$D, 'SPAWNING PLOTS-raw'!J$3)</f>
        <v>248333.33333333337</v>
      </c>
      <c r="K14" s="167">
        <f>SUMIFS('Larvae Collection'!$R:$R, 'Larvae Collection'!$A:$A,'SPAWNING PLOTS-raw'!$A14, 'Larvae Collection'!$D:$D, 'SPAWNING PLOTS-raw'!K$3)</f>
        <v>54000</v>
      </c>
      <c r="L14" s="167">
        <f>SUMIFS('Larvae Collection'!$R:$R, 'Larvae Collection'!$A:$A,'SPAWNING PLOTS-raw'!$A14, 'Larvae Collection'!$D:$D, 'SPAWNING PLOTS-raw'!L$3)</f>
        <v>254600</v>
      </c>
      <c r="M14" s="167">
        <f>SUMIFS('Larvae Collection'!$R:$R, 'Larvae Collection'!$A:$A,'SPAWNING PLOTS-raw'!$A14, 'Larvae Collection'!$D:$D, 'SPAWNING PLOTS-raw'!M$3)</f>
        <v>0</v>
      </c>
      <c r="N14" s="167">
        <f>SUMIFS('Larvae Collection'!$R:$R, 'Larvae Collection'!$A:$A,'SPAWNING PLOTS-raw'!$A14, 'Larvae Collection'!$D:$D, 'SPAWNING PLOTS-raw'!N$3)</f>
        <v>673400</v>
      </c>
      <c r="O14" s="167">
        <f>SUMIFS('Larvae Collection'!$R:$R, 'Larvae Collection'!$A:$A,'SPAWNING PLOTS-raw'!$A14, 'Larvae Collection'!$D:$D, 'SPAWNING PLOTS-raw'!O$3)</f>
        <v>0</v>
      </c>
      <c r="P14" s="167">
        <f>SUMIFS('Larvae Collection'!$R:$R, 'Larvae Collection'!$A:$A,'SPAWNING PLOTS-raw'!$A14, 'Larvae Collection'!$D:$D, 'SPAWNING PLOTS-raw'!P$3)</f>
        <v>31199.999999999996</v>
      </c>
      <c r="Q14" s="167">
        <f>SUMIFS('Larvae Collection'!$R:$R, 'Larvae Collection'!$A:$A,'SPAWNING PLOTS-raw'!$A14, 'Larvae Collection'!$D:$D, 'SPAWNING PLOTS-raw'!Q$3)</f>
        <v>313600</v>
      </c>
      <c r="R14" s="151">
        <f t="shared" si="1"/>
        <v>2993428.8888888895</v>
      </c>
      <c r="S14" s="151">
        <f t="shared" si="2"/>
        <v>2754926.666666667</v>
      </c>
      <c r="T14" s="151">
        <f t="shared" si="3"/>
        <v>1717021.666666667</v>
      </c>
      <c r="U14" s="151">
        <f t="shared" si="4"/>
        <v>843538.09523809527</v>
      </c>
      <c r="V14" s="151">
        <f t="shared" si="5"/>
        <v>1064685.7142857143</v>
      </c>
      <c r="W14" s="151">
        <f t="shared" si="6"/>
        <v>2270293.333333333</v>
      </c>
      <c r="X14" s="151">
        <f t="shared" si="7"/>
        <v>3017910</v>
      </c>
      <c r="Y14" s="151">
        <f t="shared" si="8"/>
        <v>2100347.2222222225</v>
      </c>
      <c r="Z14" s="151">
        <f t="shared" si="9"/>
        <v>1523026.666666667</v>
      </c>
      <c r="AA14" s="151">
        <f t="shared" si="10"/>
        <v>1098244.4444444445</v>
      </c>
      <c r="AB14" s="151">
        <f t="shared" si="11"/>
        <v>877100</v>
      </c>
      <c r="AC14" s="151">
        <f t="shared" si="12"/>
        <v>191166.66666666666</v>
      </c>
      <c r="AD14" s="151">
        <f t="shared" si="13"/>
        <v>2645580</v>
      </c>
      <c r="AE14" s="151">
        <f t="shared" si="14"/>
        <v>2151082.3809523806</v>
      </c>
      <c r="AF14" s="151">
        <f t="shared" si="15"/>
        <v>1015413.3333333333</v>
      </c>
      <c r="AG14" s="151">
        <f t="shared" si="16"/>
        <v>2467302.777777778</v>
      </c>
    </row>
    <row r="15" spans="1:33" ht="21" x14ac:dyDescent="0.25">
      <c r="A15" s="166">
        <v>43200</v>
      </c>
      <c r="B15" s="167">
        <f>SUMIFS('Larvae Collection'!$R:$R, 'Larvae Collection'!$A:$A,'SPAWNING PLOTS-raw'!$A15, 'Larvae Collection'!$D:$D, 'SPAWNING PLOTS-raw'!B$3)</f>
        <v>12952.380952380954</v>
      </c>
      <c r="C15" s="167">
        <f>SUMIFS('Larvae Collection'!$R:$R, 'Larvae Collection'!$A:$A,'SPAWNING PLOTS-raw'!$A15, 'Larvae Collection'!$D:$D, 'SPAWNING PLOTS-raw'!C$3)</f>
        <v>0</v>
      </c>
      <c r="D15" s="167">
        <f>SUMIFS('Larvae Collection'!$R:$R, 'Larvae Collection'!$A:$A,'SPAWNING PLOTS-raw'!$A15, 'Larvae Collection'!$D:$D, 'SPAWNING PLOTS-raw'!D$3)</f>
        <v>0</v>
      </c>
      <c r="E15" s="168">
        <f>SUMIFS('Larvae Collection'!$R:$R, 'Larvae Collection'!$A:$A,'SPAWNING PLOTS-raw'!$A15, 'Larvae Collection'!$D:$D, 'SPAWNING PLOTS-raw'!E$3)</f>
        <v>229666.66666666669</v>
      </c>
      <c r="F15" s="168">
        <f>SUMIFS('Larvae Collection'!$R:$R, 'Larvae Collection'!$A:$A,'SPAWNING PLOTS-raw'!$A15, 'Larvae Collection'!$D:$D, 'SPAWNING PLOTS-raw'!F$3)</f>
        <v>708333.33333333326</v>
      </c>
      <c r="G15" s="167">
        <f>SUMIFS('Larvae Collection'!$R:$R, 'Larvae Collection'!$A:$A,'SPAWNING PLOTS-raw'!$A15, 'Larvae Collection'!$D:$D, 'SPAWNING PLOTS-raw'!G$3)</f>
        <v>33866.666666666672</v>
      </c>
      <c r="H15" s="167">
        <f>SUMIFS('Larvae Collection'!$R:$R, 'Larvae Collection'!$A:$A,'SPAWNING PLOTS-raw'!$A15, 'Larvae Collection'!$D:$D, 'SPAWNING PLOTS-raw'!H$3)</f>
        <v>0</v>
      </c>
      <c r="I15" s="167">
        <f>SUMIFS('Larvae Collection'!$R:$R, 'Larvae Collection'!$A:$A,'SPAWNING PLOTS-raw'!$A15, 'Larvae Collection'!$D:$D, 'SPAWNING PLOTS-raw'!I$3)</f>
        <v>0</v>
      </c>
      <c r="J15" s="167">
        <f>SUMIFS('Larvae Collection'!$R:$R, 'Larvae Collection'!$A:$A,'SPAWNING PLOTS-raw'!$A15, 'Larvae Collection'!$D:$D, 'SPAWNING PLOTS-raw'!J$3)</f>
        <v>321177.77777777781</v>
      </c>
      <c r="K15" s="167">
        <f>SUMIFS('Larvae Collection'!$R:$R, 'Larvae Collection'!$A:$A,'SPAWNING PLOTS-raw'!$A15, 'Larvae Collection'!$D:$D, 'SPAWNING PLOTS-raw'!K$3)</f>
        <v>612333.33333333326</v>
      </c>
      <c r="L15" s="167">
        <f>SUMIFS('Larvae Collection'!$R:$R, 'Larvae Collection'!$A:$A,'SPAWNING PLOTS-raw'!$A15, 'Larvae Collection'!$D:$D, 'SPAWNING PLOTS-raw'!L$3)</f>
        <v>151933.33333333334</v>
      </c>
      <c r="M15" s="167">
        <f>SUMIFS('Larvae Collection'!$R:$R, 'Larvae Collection'!$A:$A,'SPAWNING PLOTS-raw'!$A15, 'Larvae Collection'!$D:$D, 'SPAWNING PLOTS-raw'!M$3)</f>
        <v>0</v>
      </c>
      <c r="N15" s="167">
        <f>SUMIFS('Larvae Collection'!$R:$R, 'Larvae Collection'!$A:$A,'SPAWNING PLOTS-raw'!$A15, 'Larvae Collection'!$D:$D, 'SPAWNING PLOTS-raw'!N$3)</f>
        <v>329333.33333333337</v>
      </c>
      <c r="O15" s="167">
        <f>SUMIFS('Larvae Collection'!$R:$R, 'Larvae Collection'!$A:$A,'SPAWNING PLOTS-raw'!$A15, 'Larvae Collection'!$D:$D, 'SPAWNING PLOTS-raw'!O$3)</f>
        <v>0</v>
      </c>
      <c r="P15" s="167">
        <f>SUMIFS('Larvae Collection'!$R:$R, 'Larvae Collection'!$A:$A,'SPAWNING PLOTS-raw'!$A15, 'Larvae Collection'!$D:$D, 'SPAWNING PLOTS-raw'!P$3)</f>
        <v>0</v>
      </c>
      <c r="Q15" s="167">
        <f>SUMIFS('Larvae Collection'!$R:$R, 'Larvae Collection'!$A:$A,'SPAWNING PLOTS-raw'!$A15, 'Larvae Collection'!$D:$D, 'SPAWNING PLOTS-raw'!Q$3)</f>
        <v>897266.66666666663</v>
      </c>
      <c r="R15" s="151">
        <f t="shared" si="1"/>
        <v>3006381.2698412705</v>
      </c>
      <c r="S15" s="151">
        <f t="shared" si="2"/>
        <v>2754926.666666667</v>
      </c>
      <c r="T15" s="151">
        <f t="shared" si="3"/>
        <v>1717021.666666667</v>
      </c>
      <c r="U15" s="151">
        <f t="shared" si="4"/>
        <v>1073204.7619047619</v>
      </c>
      <c r="V15" s="151">
        <f t="shared" si="5"/>
        <v>1773019.0476190476</v>
      </c>
      <c r="W15" s="151">
        <f t="shared" si="6"/>
        <v>2304159.9999999995</v>
      </c>
      <c r="X15" s="151">
        <f t="shared" si="7"/>
        <v>3017910</v>
      </c>
      <c r="Y15" s="151">
        <f t="shared" si="8"/>
        <v>2100347.2222222225</v>
      </c>
      <c r="Z15" s="151">
        <f t="shared" si="9"/>
        <v>1844204.4444444447</v>
      </c>
      <c r="AA15" s="151">
        <f t="shared" si="10"/>
        <v>1710577.7777777778</v>
      </c>
      <c r="AB15" s="151">
        <f t="shared" si="11"/>
        <v>1029033.3333333334</v>
      </c>
      <c r="AC15" s="151">
        <f t="shared" si="12"/>
        <v>191166.66666666666</v>
      </c>
      <c r="AD15" s="151">
        <f t="shared" si="13"/>
        <v>2974913.3333333335</v>
      </c>
      <c r="AE15" s="151">
        <f t="shared" si="14"/>
        <v>2151082.3809523806</v>
      </c>
      <c r="AF15" s="151">
        <f t="shared" si="15"/>
        <v>1015413.3333333333</v>
      </c>
      <c r="AG15" s="151">
        <f t="shared" si="16"/>
        <v>3364569.4444444445</v>
      </c>
    </row>
    <row r="16" spans="1:33" ht="21" x14ac:dyDescent="0.25">
      <c r="A16" s="166">
        <v>43201</v>
      </c>
      <c r="B16" s="167">
        <f>SUMIFS('Larvae Collection'!$R:$R, 'Larvae Collection'!$A:$A,'SPAWNING PLOTS-raw'!$A16, 'Larvae Collection'!$D:$D, 'SPAWNING PLOTS-raw'!B$3)</f>
        <v>0</v>
      </c>
      <c r="C16" s="167">
        <f>SUMIFS('Larvae Collection'!$R:$R, 'Larvae Collection'!$A:$A,'SPAWNING PLOTS-raw'!$A16, 'Larvae Collection'!$D:$D, 'SPAWNING PLOTS-raw'!C$3)</f>
        <v>0</v>
      </c>
      <c r="D16" s="167">
        <f>SUMIFS('Larvae Collection'!$R:$R, 'Larvae Collection'!$A:$A,'SPAWNING PLOTS-raw'!$A16, 'Larvae Collection'!$D:$D, 'SPAWNING PLOTS-raw'!D$3)</f>
        <v>0</v>
      </c>
      <c r="E16" s="167">
        <f>SUMIFS('Larvae Collection'!$R:$R, 'Larvae Collection'!$A:$A,'SPAWNING PLOTS-raw'!$A16, 'Larvae Collection'!$D:$D, 'SPAWNING PLOTS-raw'!E$3)</f>
        <v>0</v>
      </c>
      <c r="F16" s="167">
        <f>SUMIFS('Larvae Collection'!$R:$R, 'Larvae Collection'!$A:$A,'SPAWNING PLOTS-raw'!$A16, 'Larvae Collection'!$D:$D, 'SPAWNING PLOTS-raw'!F$3)</f>
        <v>0</v>
      </c>
      <c r="G16" s="167">
        <f>SUMIFS('Larvae Collection'!$R:$R, 'Larvae Collection'!$A:$A,'SPAWNING PLOTS-raw'!$A16, 'Larvae Collection'!$D:$D, 'SPAWNING PLOTS-raw'!G$3)</f>
        <v>0</v>
      </c>
      <c r="H16" s="167">
        <f>SUMIFS('Larvae Collection'!$R:$R, 'Larvae Collection'!$A:$A,'SPAWNING PLOTS-raw'!$A16, 'Larvae Collection'!$D:$D, 'SPAWNING PLOTS-raw'!H$3)</f>
        <v>151600</v>
      </c>
      <c r="I16" s="167">
        <f>SUMIFS('Larvae Collection'!$R:$R, 'Larvae Collection'!$A:$A,'SPAWNING PLOTS-raw'!$A16, 'Larvae Collection'!$D:$D, 'SPAWNING PLOTS-raw'!I$3)</f>
        <v>111720</v>
      </c>
      <c r="J16" s="167">
        <f>SUMIFS('Larvae Collection'!$R:$R, 'Larvae Collection'!$A:$A,'SPAWNING PLOTS-raw'!$A16, 'Larvae Collection'!$D:$D, 'SPAWNING PLOTS-raw'!J$3)</f>
        <v>0</v>
      </c>
      <c r="K16" s="167">
        <f>SUMIFS('Larvae Collection'!$R:$R, 'Larvae Collection'!$A:$A,'SPAWNING PLOTS-raw'!$A16, 'Larvae Collection'!$D:$D, 'SPAWNING PLOTS-raw'!K$3)</f>
        <v>0</v>
      </c>
      <c r="L16" s="167">
        <f>SUMIFS('Larvae Collection'!$R:$R, 'Larvae Collection'!$A:$A,'SPAWNING PLOTS-raw'!$A16, 'Larvae Collection'!$D:$D, 'SPAWNING PLOTS-raw'!L$3)</f>
        <v>0</v>
      </c>
      <c r="M16" s="167">
        <f>SUMIFS('Larvae Collection'!$R:$R, 'Larvae Collection'!$A:$A,'SPAWNING PLOTS-raw'!$A16, 'Larvae Collection'!$D:$D, 'SPAWNING PLOTS-raw'!M$3)</f>
        <v>0</v>
      </c>
      <c r="N16" s="167">
        <f>SUMIFS('Larvae Collection'!$R:$R, 'Larvae Collection'!$A:$A,'SPAWNING PLOTS-raw'!$A16, 'Larvae Collection'!$D:$D, 'SPAWNING PLOTS-raw'!N$3)</f>
        <v>0</v>
      </c>
      <c r="O16" s="167">
        <f>SUMIFS('Larvae Collection'!$R:$R, 'Larvae Collection'!$A:$A,'SPAWNING PLOTS-raw'!$A16, 'Larvae Collection'!$D:$D, 'SPAWNING PLOTS-raw'!O$3)</f>
        <v>0</v>
      </c>
      <c r="P16" s="167">
        <f>SUMIFS('Larvae Collection'!$R:$R, 'Larvae Collection'!$A:$A,'SPAWNING PLOTS-raw'!$A16, 'Larvae Collection'!$D:$D, 'SPAWNING PLOTS-raw'!P$3)</f>
        <v>0</v>
      </c>
      <c r="Q16" s="167">
        <f>SUMIFS('Larvae Collection'!$R:$R, 'Larvae Collection'!$A:$A,'SPAWNING PLOTS-raw'!$A16, 'Larvae Collection'!$D:$D, 'SPAWNING PLOTS-raw'!Q$3)</f>
        <v>77666.666666666672</v>
      </c>
      <c r="R16" s="151">
        <f t="shared" si="1"/>
        <v>3006381.2698412705</v>
      </c>
      <c r="S16" s="151">
        <f t="shared" si="2"/>
        <v>2754926.666666667</v>
      </c>
      <c r="T16" s="151">
        <f t="shared" si="3"/>
        <v>1717021.666666667</v>
      </c>
      <c r="U16" s="151">
        <f t="shared" si="4"/>
        <v>1073204.7619047619</v>
      </c>
      <c r="V16" s="151">
        <f t="shared" si="5"/>
        <v>1773019.0476190476</v>
      </c>
      <c r="W16" s="151">
        <f t="shared" si="6"/>
        <v>2304159.9999999995</v>
      </c>
      <c r="X16" s="151">
        <f t="shared" si="7"/>
        <v>3169510</v>
      </c>
      <c r="Y16" s="151">
        <f t="shared" si="8"/>
        <v>2212067.2222222225</v>
      </c>
      <c r="Z16" s="151">
        <f t="shared" si="9"/>
        <v>1844204.4444444447</v>
      </c>
      <c r="AA16" s="151">
        <f t="shared" si="10"/>
        <v>1710577.7777777778</v>
      </c>
      <c r="AB16" s="151">
        <f t="shared" si="11"/>
        <v>1029033.3333333334</v>
      </c>
      <c r="AC16" s="151">
        <f t="shared" si="12"/>
        <v>191166.66666666666</v>
      </c>
      <c r="AD16" s="151">
        <f t="shared" si="13"/>
        <v>2974913.3333333335</v>
      </c>
      <c r="AE16" s="151">
        <f t="shared" si="14"/>
        <v>2151082.3809523806</v>
      </c>
      <c r="AF16" s="151">
        <f t="shared" si="15"/>
        <v>1015413.3333333333</v>
      </c>
      <c r="AG16" s="151">
        <f t="shared" si="16"/>
        <v>3442236.111111111</v>
      </c>
    </row>
    <row r="17" spans="1:33" ht="21" x14ac:dyDescent="0.25">
      <c r="A17" s="166">
        <v>43202</v>
      </c>
      <c r="B17" s="167">
        <f>SUMIFS('Larvae Collection'!$R:$R, 'Larvae Collection'!$A:$A,'SPAWNING PLOTS-raw'!$A17, 'Larvae Collection'!$D:$D, 'SPAWNING PLOTS-raw'!B$3)</f>
        <v>155166.66666666669</v>
      </c>
      <c r="C17" s="167">
        <f>SUMIFS('Larvae Collection'!$R:$R, 'Larvae Collection'!$A:$A,'SPAWNING PLOTS-raw'!$A17, 'Larvae Collection'!$D:$D, 'SPAWNING PLOTS-raw'!C$3)</f>
        <v>0</v>
      </c>
      <c r="D17" s="167">
        <f>SUMIFS('Larvae Collection'!$R:$R, 'Larvae Collection'!$A:$A,'SPAWNING PLOTS-raw'!$A17, 'Larvae Collection'!$D:$D, 'SPAWNING PLOTS-raw'!D$3)</f>
        <v>0</v>
      </c>
      <c r="E17" s="167">
        <f>SUMIFS('Larvae Collection'!$R:$R, 'Larvae Collection'!$A:$A,'SPAWNING PLOTS-raw'!$A17, 'Larvae Collection'!$D:$D, 'SPAWNING PLOTS-raw'!E$3)</f>
        <v>111166.66666666666</v>
      </c>
      <c r="F17" s="167">
        <f>SUMIFS('Larvae Collection'!$R:$R, 'Larvae Collection'!$A:$A,'SPAWNING PLOTS-raw'!$A17, 'Larvae Collection'!$D:$D, 'SPAWNING PLOTS-raw'!F$3)</f>
        <v>0</v>
      </c>
      <c r="G17" s="167">
        <f>SUMIFS('Larvae Collection'!$R:$R, 'Larvae Collection'!$A:$A,'SPAWNING PLOTS-raw'!$A17, 'Larvae Collection'!$D:$D, 'SPAWNING PLOTS-raw'!G$3)</f>
        <v>209788.88888888893</v>
      </c>
      <c r="H17" s="168">
        <f>SUMIFS('Larvae Collection'!$R:$R, 'Larvae Collection'!$A:$A,'SPAWNING PLOTS-raw'!$A17, 'Larvae Collection'!$D:$D, 'SPAWNING PLOTS-raw'!H$3)</f>
        <v>924333.33333333326</v>
      </c>
      <c r="I17" s="167">
        <f>SUMIFS('Larvae Collection'!$R:$R, 'Larvae Collection'!$A:$A,'SPAWNING PLOTS-raw'!$A17, 'Larvae Collection'!$D:$D, 'SPAWNING PLOTS-raw'!I$3)</f>
        <v>0</v>
      </c>
      <c r="J17" s="167">
        <f>SUMIFS('Larvae Collection'!$R:$R, 'Larvae Collection'!$A:$A,'SPAWNING PLOTS-raw'!$A17, 'Larvae Collection'!$D:$D, 'SPAWNING PLOTS-raw'!J$3)</f>
        <v>0</v>
      </c>
      <c r="K17" s="167">
        <f>SUMIFS('Larvae Collection'!$R:$R, 'Larvae Collection'!$A:$A,'SPAWNING PLOTS-raw'!$A17, 'Larvae Collection'!$D:$D, 'SPAWNING PLOTS-raw'!K$3)</f>
        <v>0</v>
      </c>
      <c r="L17" s="167">
        <f>SUMIFS('Larvae Collection'!$R:$R, 'Larvae Collection'!$A:$A,'SPAWNING PLOTS-raw'!$A17, 'Larvae Collection'!$D:$D, 'SPAWNING PLOTS-raw'!L$3)</f>
        <v>0</v>
      </c>
      <c r="M17" s="167">
        <f>SUMIFS('Larvae Collection'!$R:$R, 'Larvae Collection'!$A:$A,'SPAWNING PLOTS-raw'!$A17, 'Larvae Collection'!$D:$D, 'SPAWNING PLOTS-raw'!M$3)</f>
        <v>0</v>
      </c>
      <c r="N17" s="167">
        <f>SUMIFS('Larvae Collection'!$R:$R, 'Larvae Collection'!$A:$A,'SPAWNING PLOTS-raw'!$A17, 'Larvae Collection'!$D:$D, 'SPAWNING PLOTS-raw'!N$3)</f>
        <v>18888.888888888891</v>
      </c>
      <c r="O17" s="167">
        <f>SUMIFS('Larvae Collection'!$R:$R, 'Larvae Collection'!$A:$A,'SPAWNING PLOTS-raw'!$A17, 'Larvae Collection'!$D:$D, 'SPAWNING PLOTS-raw'!O$3)</f>
        <v>0</v>
      </c>
      <c r="P17" s="167">
        <f>SUMIFS('Larvae Collection'!$R:$R, 'Larvae Collection'!$A:$A,'SPAWNING PLOTS-raw'!$A17, 'Larvae Collection'!$D:$D, 'SPAWNING PLOTS-raw'!P$3)</f>
        <v>0</v>
      </c>
      <c r="Q17" s="167">
        <f>SUMIFS('Larvae Collection'!$R:$R, 'Larvae Collection'!$A:$A,'SPAWNING PLOTS-raw'!$A17, 'Larvae Collection'!$D:$D, 'SPAWNING PLOTS-raw'!Q$3)</f>
        <v>0</v>
      </c>
      <c r="R17" s="151">
        <f t="shared" si="1"/>
        <v>3161547.936507937</v>
      </c>
      <c r="S17" s="151">
        <f t="shared" si="2"/>
        <v>2754926.666666667</v>
      </c>
      <c r="T17" s="151">
        <f t="shared" si="3"/>
        <v>1717021.666666667</v>
      </c>
      <c r="U17" s="151">
        <f t="shared" si="4"/>
        <v>1184371.4285714286</v>
      </c>
      <c r="V17" s="151">
        <f t="shared" si="5"/>
        <v>1773019.0476190476</v>
      </c>
      <c r="W17" s="151">
        <f t="shared" si="6"/>
        <v>2513948.8888888885</v>
      </c>
      <c r="X17" s="151">
        <f t="shared" si="7"/>
        <v>4093843.333333333</v>
      </c>
      <c r="Y17" s="151">
        <f t="shared" si="8"/>
        <v>2212067.2222222225</v>
      </c>
      <c r="Z17" s="151">
        <f t="shared" si="9"/>
        <v>1844204.4444444447</v>
      </c>
      <c r="AA17" s="151">
        <f t="shared" si="10"/>
        <v>1710577.7777777778</v>
      </c>
      <c r="AB17" s="151">
        <f t="shared" si="11"/>
        <v>1029033.3333333334</v>
      </c>
      <c r="AC17" s="151">
        <f t="shared" si="12"/>
        <v>191166.66666666666</v>
      </c>
      <c r="AD17" s="151">
        <f t="shared" si="13"/>
        <v>2993802.2222222225</v>
      </c>
      <c r="AE17" s="151">
        <f t="shared" si="14"/>
        <v>2151082.3809523806</v>
      </c>
      <c r="AF17" s="151">
        <f t="shared" si="15"/>
        <v>1015413.3333333333</v>
      </c>
      <c r="AG17" s="151">
        <f t="shared" si="16"/>
        <v>3442236.111111111</v>
      </c>
    </row>
    <row r="18" spans="1:33" ht="21" x14ac:dyDescent="0.25">
      <c r="A18" s="166">
        <v>43203</v>
      </c>
      <c r="B18" s="167">
        <f>SUMIFS('Larvae Collection'!$R:$R, 'Larvae Collection'!$A:$A,'SPAWNING PLOTS-raw'!$A18, 'Larvae Collection'!$D:$D, 'SPAWNING PLOTS-raw'!B$3)</f>
        <v>273600</v>
      </c>
      <c r="C18" s="167">
        <f>SUMIFS('Larvae Collection'!$R:$R, 'Larvae Collection'!$A:$A,'SPAWNING PLOTS-raw'!$A18, 'Larvae Collection'!$D:$D, 'SPAWNING PLOTS-raw'!C$3)</f>
        <v>0</v>
      </c>
      <c r="D18" s="167">
        <f>SUMIFS('Larvae Collection'!$R:$R, 'Larvae Collection'!$A:$A,'SPAWNING PLOTS-raw'!$A18, 'Larvae Collection'!$D:$D, 'SPAWNING PLOTS-raw'!D$3)</f>
        <v>525000</v>
      </c>
      <c r="E18" s="168">
        <f>SUMIFS('Larvae Collection'!$R:$R, 'Larvae Collection'!$A:$A,'SPAWNING PLOTS-raw'!$A18, 'Larvae Collection'!$D:$D, 'SPAWNING PLOTS-raw'!E$3)</f>
        <v>0</v>
      </c>
      <c r="F18" s="167">
        <f>SUMIFS('Larvae Collection'!$R:$R, 'Larvae Collection'!$A:$A,'SPAWNING PLOTS-raw'!$A18, 'Larvae Collection'!$D:$D, 'SPAWNING PLOTS-raw'!F$3)</f>
        <v>0</v>
      </c>
      <c r="G18" s="167">
        <f>SUMIFS('Larvae Collection'!$R:$R, 'Larvae Collection'!$A:$A,'SPAWNING PLOTS-raw'!$A18, 'Larvae Collection'!$D:$D, 'SPAWNING PLOTS-raw'!G$3)</f>
        <v>0</v>
      </c>
      <c r="H18" s="167">
        <f>SUMIFS('Larvae Collection'!$R:$R, 'Larvae Collection'!$A:$A,'SPAWNING PLOTS-raw'!$A18, 'Larvae Collection'!$D:$D, 'SPAWNING PLOTS-raw'!H$3)</f>
        <v>226500</v>
      </c>
      <c r="I18" s="167">
        <f>SUMIFS('Larvae Collection'!$R:$R, 'Larvae Collection'!$A:$A,'SPAWNING PLOTS-raw'!$A18, 'Larvae Collection'!$D:$D, 'SPAWNING PLOTS-raw'!I$3)</f>
        <v>0</v>
      </c>
      <c r="J18" s="167">
        <f>SUMIFS('Larvae Collection'!$R:$R, 'Larvae Collection'!$A:$A,'SPAWNING PLOTS-raw'!$A18, 'Larvae Collection'!$D:$D, 'SPAWNING PLOTS-raw'!J$3)</f>
        <v>0</v>
      </c>
      <c r="K18" s="167">
        <f>SUMIFS('Larvae Collection'!$R:$R, 'Larvae Collection'!$A:$A,'SPAWNING PLOTS-raw'!$A18, 'Larvae Collection'!$D:$D, 'SPAWNING PLOTS-raw'!K$3)</f>
        <v>430666.66666666663</v>
      </c>
      <c r="L18" s="167">
        <f>SUMIFS('Larvae Collection'!$R:$R, 'Larvae Collection'!$A:$A,'SPAWNING PLOTS-raw'!$A18, 'Larvae Collection'!$D:$D, 'SPAWNING PLOTS-raw'!L$3)</f>
        <v>0</v>
      </c>
      <c r="M18" s="168">
        <f>SUMIFS('Larvae Collection'!$R:$R, 'Larvae Collection'!$A:$A,'SPAWNING PLOTS-raw'!$A18, 'Larvae Collection'!$D:$D, 'SPAWNING PLOTS-raw'!M$3)</f>
        <v>0</v>
      </c>
      <c r="N18" s="167">
        <f>SUMIFS('Larvae Collection'!$R:$R, 'Larvae Collection'!$A:$A,'SPAWNING PLOTS-raw'!$A18, 'Larvae Collection'!$D:$D, 'SPAWNING PLOTS-raw'!N$3)</f>
        <v>0</v>
      </c>
      <c r="O18" s="167">
        <f>SUMIFS('Larvae Collection'!$R:$R, 'Larvae Collection'!$A:$A,'SPAWNING PLOTS-raw'!$A18, 'Larvae Collection'!$D:$D, 'SPAWNING PLOTS-raw'!O$3)</f>
        <v>255000</v>
      </c>
      <c r="P18" s="167">
        <f>SUMIFS('Larvae Collection'!$R:$R, 'Larvae Collection'!$A:$A,'SPAWNING PLOTS-raw'!$A18, 'Larvae Collection'!$D:$D, 'SPAWNING PLOTS-raw'!P$3)</f>
        <v>159600</v>
      </c>
      <c r="Q18" s="167">
        <f>SUMIFS('Larvae Collection'!$R:$R, 'Larvae Collection'!$A:$A,'SPAWNING PLOTS-raw'!$A18, 'Larvae Collection'!$D:$D, 'SPAWNING PLOTS-raw'!Q$3)</f>
        <v>96708.333333333328</v>
      </c>
      <c r="R18" s="151">
        <f t="shared" si="1"/>
        <v>3435147.936507937</v>
      </c>
      <c r="S18" s="151">
        <f t="shared" si="2"/>
        <v>2754926.666666667</v>
      </c>
      <c r="T18" s="151">
        <f t="shared" si="3"/>
        <v>2242021.666666667</v>
      </c>
      <c r="U18" s="151">
        <f t="shared" si="4"/>
        <v>1184371.4285714286</v>
      </c>
      <c r="V18" s="151">
        <f t="shared" si="5"/>
        <v>1773019.0476190476</v>
      </c>
      <c r="W18" s="151">
        <f t="shared" si="6"/>
        <v>2513948.8888888885</v>
      </c>
      <c r="X18" s="151">
        <f t="shared" si="7"/>
        <v>4320343.333333333</v>
      </c>
      <c r="Y18" s="151">
        <f t="shared" si="8"/>
        <v>2212067.2222222225</v>
      </c>
      <c r="Z18" s="151">
        <f t="shared" si="9"/>
        <v>1844204.4444444447</v>
      </c>
      <c r="AA18" s="151">
        <f t="shared" si="10"/>
        <v>2141244.4444444445</v>
      </c>
      <c r="AB18" s="151">
        <f t="shared" si="11"/>
        <v>1029033.3333333334</v>
      </c>
      <c r="AC18" s="151">
        <f t="shared" si="12"/>
        <v>191166.66666666666</v>
      </c>
      <c r="AD18" s="151">
        <f t="shared" si="13"/>
        <v>2993802.2222222225</v>
      </c>
      <c r="AE18" s="151">
        <f t="shared" si="14"/>
        <v>2406082.3809523806</v>
      </c>
      <c r="AF18" s="151">
        <f t="shared" si="15"/>
        <v>1175013.3333333333</v>
      </c>
      <c r="AG18" s="151">
        <f t="shared" si="16"/>
        <v>3538944.4444444445</v>
      </c>
    </row>
    <row r="19" spans="1:33" ht="21" x14ac:dyDescent="0.25">
      <c r="A19" s="166">
        <v>43204</v>
      </c>
      <c r="B19" s="167">
        <f>SUMIFS('Larvae Collection'!$R:$R, 'Larvae Collection'!$A:$A,'SPAWNING PLOTS-raw'!$A19, 'Larvae Collection'!$D:$D, 'SPAWNING PLOTS-raw'!B$3)</f>
        <v>1051733.3333333335</v>
      </c>
      <c r="C19" s="167">
        <f>SUMIFS('Larvae Collection'!$R:$R, 'Larvae Collection'!$A:$A,'SPAWNING PLOTS-raw'!$A19, 'Larvae Collection'!$D:$D, 'SPAWNING PLOTS-raw'!C$3)</f>
        <v>168800</v>
      </c>
      <c r="D19" s="167">
        <f>SUMIFS('Larvae Collection'!$R:$R, 'Larvae Collection'!$A:$A,'SPAWNING PLOTS-raw'!$A19, 'Larvae Collection'!$D:$D, 'SPAWNING PLOTS-raw'!D$3)</f>
        <v>352305.55555555556</v>
      </c>
      <c r="E19" s="167">
        <f>SUMIFS('Larvae Collection'!$R:$R, 'Larvae Collection'!$A:$A,'SPAWNING PLOTS-raw'!$A19, 'Larvae Collection'!$D:$D, 'SPAWNING PLOTS-raw'!E$3)</f>
        <v>0</v>
      </c>
      <c r="F19" s="167">
        <f>SUMIFS('Larvae Collection'!$R:$R, 'Larvae Collection'!$A:$A,'SPAWNING PLOTS-raw'!$A19, 'Larvae Collection'!$D:$D, 'SPAWNING PLOTS-raw'!F$3)</f>
        <v>0</v>
      </c>
      <c r="G19" s="168">
        <f>SUMIFS('Larvae Collection'!$R:$R, 'Larvae Collection'!$A:$A,'SPAWNING PLOTS-raw'!$A19, 'Larvae Collection'!$D:$D, 'SPAWNING PLOTS-raw'!G$3)</f>
        <v>0</v>
      </c>
      <c r="H19" s="167">
        <f>SUMIFS('Larvae Collection'!$R:$R, 'Larvae Collection'!$A:$A,'SPAWNING PLOTS-raw'!$A19, 'Larvae Collection'!$D:$D, 'SPAWNING PLOTS-raw'!H$3)</f>
        <v>0</v>
      </c>
      <c r="I19" s="167">
        <f>SUMIFS('Larvae Collection'!$R:$R, 'Larvae Collection'!$A:$A,'SPAWNING PLOTS-raw'!$A19, 'Larvae Collection'!$D:$D, 'SPAWNING PLOTS-raw'!I$3)</f>
        <v>0</v>
      </c>
      <c r="J19" s="167">
        <f>SUMIFS('Larvae Collection'!$R:$R, 'Larvae Collection'!$A:$A,'SPAWNING PLOTS-raw'!$A19, 'Larvae Collection'!$D:$D, 'SPAWNING PLOTS-raw'!J$3)</f>
        <v>1121966.6666666667</v>
      </c>
      <c r="K19" s="167">
        <f>SUMIFS('Larvae Collection'!$R:$R, 'Larvae Collection'!$A:$A,'SPAWNING PLOTS-raw'!$A19, 'Larvae Collection'!$D:$D, 'SPAWNING PLOTS-raw'!K$3)</f>
        <v>248666.66666666669</v>
      </c>
      <c r="L19" s="167">
        <f>SUMIFS('Larvae Collection'!$R:$R, 'Larvae Collection'!$A:$A,'SPAWNING PLOTS-raw'!$A19, 'Larvae Collection'!$D:$D, 'SPAWNING PLOTS-raw'!L$3)</f>
        <v>94305.555555555562</v>
      </c>
      <c r="M19" s="167">
        <f>SUMIFS('Larvae Collection'!$R:$R, 'Larvae Collection'!$A:$A,'SPAWNING PLOTS-raw'!$A19, 'Larvae Collection'!$D:$D, 'SPAWNING PLOTS-raw'!M$3)</f>
        <v>0</v>
      </c>
      <c r="N19" s="167">
        <f>SUMIFS('Larvae Collection'!$R:$R, 'Larvae Collection'!$A:$A,'SPAWNING PLOTS-raw'!$A19, 'Larvae Collection'!$D:$D, 'SPAWNING PLOTS-raw'!N$3)</f>
        <v>0</v>
      </c>
      <c r="O19" s="167">
        <f>SUMIFS('Larvae Collection'!$R:$R, 'Larvae Collection'!$A:$A,'SPAWNING PLOTS-raw'!$A19, 'Larvae Collection'!$D:$D, 'SPAWNING PLOTS-raw'!O$3)</f>
        <v>103888.88888888891</v>
      </c>
      <c r="P19" s="167">
        <f>SUMIFS('Larvae Collection'!$R:$R, 'Larvae Collection'!$A:$A,'SPAWNING PLOTS-raw'!$A19, 'Larvae Collection'!$D:$D, 'SPAWNING PLOTS-raw'!P$3)</f>
        <v>0</v>
      </c>
      <c r="Q19" s="168">
        <f>SUMIFS('Larvae Collection'!$R:$R, 'Larvae Collection'!$A:$A,'SPAWNING PLOTS-raw'!$A19, 'Larvae Collection'!$D:$D, 'SPAWNING PLOTS-raw'!Q$3)</f>
        <v>0</v>
      </c>
      <c r="R19" s="151">
        <f t="shared" si="1"/>
        <v>4486881.2698412705</v>
      </c>
      <c r="S19" s="151">
        <f t="shared" si="2"/>
        <v>2923726.666666667</v>
      </c>
      <c r="T19" s="151">
        <f t="shared" si="3"/>
        <v>2594327.2222222225</v>
      </c>
      <c r="U19" s="151">
        <f t="shared" si="4"/>
        <v>1184371.4285714286</v>
      </c>
      <c r="V19" s="151">
        <f t="shared" si="5"/>
        <v>1773019.0476190476</v>
      </c>
      <c r="W19" s="151">
        <f t="shared" si="6"/>
        <v>2513948.8888888885</v>
      </c>
      <c r="X19" s="151">
        <f t="shared" si="7"/>
        <v>4320343.333333333</v>
      </c>
      <c r="Y19" s="151">
        <f t="shared" si="8"/>
        <v>2212067.2222222225</v>
      </c>
      <c r="Z19" s="151">
        <f t="shared" si="9"/>
        <v>2966171.1111111115</v>
      </c>
      <c r="AA19" s="151">
        <f t="shared" si="10"/>
        <v>2389911.111111111</v>
      </c>
      <c r="AB19" s="151">
        <f t="shared" si="11"/>
        <v>1123338.888888889</v>
      </c>
      <c r="AC19" s="151">
        <f t="shared" si="12"/>
        <v>191166.66666666666</v>
      </c>
      <c r="AD19" s="151">
        <f t="shared" si="13"/>
        <v>2993802.2222222225</v>
      </c>
      <c r="AE19" s="151">
        <f t="shared" si="14"/>
        <v>2509971.2698412696</v>
      </c>
      <c r="AF19" s="151">
        <f t="shared" si="15"/>
        <v>1175013.3333333333</v>
      </c>
      <c r="AG19" s="151">
        <f t="shared" si="16"/>
        <v>3538944.4444444445</v>
      </c>
    </row>
    <row r="20" spans="1:33" ht="21" x14ac:dyDescent="0.25">
      <c r="A20" s="166">
        <v>43205</v>
      </c>
      <c r="B20" s="167">
        <f>SUMIFS('Larvae Collection'!$R:$R, 'Larvae Collection'!$A:$A,'SPAWNING PLOTS-raw'!$A20, 'Larvae Collection'!$D:$D, 'SPAWNING PLOTS-raw'!B$3)</f>
        <v>0</v>
      </c>
      <c r="C20" s="167">
        <f>SUMIFS('Larvae Collection'!$R:$R, 'Larvae Collection'!$A:$A,'SPAWNING PLOTS-raw'!$A20, 'Larvae Collection'!$D:$D, 'SPAWNING PLOTS-raw'!C$3)</f>
        <v>0</v>
      </c>
      <c r="D20" s="167">
        <f>SUMIFS('Larvae Collection'!$R:$R, 'Larvae Collection'!$A:$A,'SPAWNING PLOTS-raw'!$A20, 'Larvae Collection'!$D:$D, 'SPAWNING PLOTS-raw'!D$3)</f>
        <v>644160</v>
      </c>
      <c r="E20" s="167">
        <f>SUMIFS('Larvae Collection'!$R:$R, 'Larvae Collection'!$A:$A,'SPAWNING PLOTS-raw'!$A20, 'Larvae Collection'!$D:$D, 'SPAWNING PLOTS-raw'!E$3)</f>
        <v>0</v>
      </c>
      <c r="F20" s="167">
        <f>SUMIFS('Larvae Collection'!$R:$R, 'Larvae Collection'!$A:$A,'SPAWNING PLOTS-raw'!$A20, 'Larvae Collection'!$D:$D, 'SPAWNING PLOTS-raw'!F$3)</f>
        <v>0</v>
      </c>
      <c r="G20" s="167">
        <f>SUMIFS('Larvae Collection'!$R:$R, 'Larvae Collection'!$A:$A,'SPAWNING PLOTS-raw'!$A20, 'Larvae Collection'!$D:$D, 'SPAWNING PLOTS-raw'!G$3)</f>
        <v>483999.99999999994</v>
      </c>
      <c r="H20" s="167">
        <f>SUMIFS('Larvae Collection'!$R:$R, 'Larvae Collection'!$A:$A,'SPAWNING PLOTS-raw'!$A20, 'Larvae Collection'!$D:$D, 'SPAWNING PLOTS-raw'!H$3)</f>
        <v>208833.33333333331</v>
      </c>
      <c r="I20" s="167">
        <f>SUMIFS('Larvae Collection'!$R:$R, 'Larvae Collection'!$A:$A,'SPAWNING PLOTS-raw'!$A20, 'Larvae Collection'!$D:$D, 'SPAWNING PLOTS-raw'!I$3)</f>
        <v>0</v>
      </c>
      <c r="J20" s="167">
        <f>SUMIFS('Larvae Collection'!$R:$R, 'Larvae Collection'!$A:$A,'SPAWNING PLOTS-raw'!$A20, 'Larvae Collection'!$D:$D, 'SPAWNING PLOTS-raw'!J$3)</f>
        <v>0</v>
      </c>
      <c r="K20" s="167">
        <f>SUMIFS('Larvae Collection'!$R:$R, 'Larvae Collection'!$A:$A,'SPAWNING PLOTS-raw'!$A20, 'Larvae Collection'!$D:$D, 'SPAWNING PLOTS-raw'!K$3)</f>
        <v>0</v>
      </c>
      <c r="L20" s="167">
        <f>SUMIFS('Larvae Collection'!$R:$R, 'Larvae Collection'!$A:$A,'SPAWNING PLOTS-raw'!$A20, 'Larvae Collection'!$D:$D, 'SPAWNING PLOTS-raw'!L$3)</f>
        <v>0</v>
      </c>
      <c r="M20" s="167">
        <f>SUMIFS('Larvae Collection'!$R:$R, 'Larvae Collection'!$A:$A,'SPAWNING PLOTS-raw'!$A20, 'Larvae Collection'!$D:$D, 'SPAWNING PLOTS-raw'!M$3)</f>
        <v>615880</v>
      </c>
      <c r="N20" s="167">
        <f>SUMIFS('Larvae Collection'!$R:$R, 'Larvae Collection'!$A:$A,'SPAWNING PLOTS-raw'!$A20, 'Larvae Collection'!$D:$D, 'SPAWNING PLOTS-raw'!N$3)</f>
        <v>0</v>
      </c>
      <c r="O20" s="167">
        <f>SUMIFS('Larvae Collection'!$R:$R, 'Larvae Collection'!$A:$A,'SPAWNING PLOTS-raw'!$A20, 'Larvae Collection'!$D:$D, 'SPAWNING PLOTS-raw'!O$3)</f>
        <v>846000</v>
      </c>
      <c r="P20" s="167">
        <f>SUMIFS('Larvae Collection'!$R:$R, 'Larvae Collection'!$A:$A,'SPAWNING PLOTS-raw'!$A20, 'Larvae Collection'!$D:$D, 'SPAWNING PLOTS-raw'!P$3)</f>
        <v>0</v>
      </c>
      <c r="Q20" s="167">
        <f>SUMIFS('Larvae Collection'!$R:$R, 'Larvae Collection'!$A:$A,'SPAWNING PLOTS-raw'!$A20, 'Larvae Collection'!$D:$D, 'SPAWNING PLOTS-raw'!Q$3)</f>
        <v>183508.33333333331</v>
      </c>
      <c r="R20" s="151">
        <f>SUMIFS(B$4:B$31, $A$4:$A$31, "&lt;="&amp;$A20)</f>
        <v>4486881.2698412705</v>
      </c>
      <c r="S20" s="151">
        <f t="shared" si="2"/>
        <v>2923726.666666667</v>
      </c>
      <c r="T20" s="151">
        <f t="shared" si="3"/>
        <v>3238487.2222222225</v>
      </c>
      <c r="U20" s="151">
        <f t="shared" si="4"/>
        <v>1184371.4285714286</v>
      </c>
      <c r="V20" s="151">
        <f t="shared" si="5"/>
        <v>1773019.0476190476</v>
      </c>
      <c r="W20" s="151">
        <f t="shared" si="6"/>
        <v>2997948.8888888885</v>
      </c>
      <c r="X20" s="151">
        <f t="shared" si="7"/>
        <v>4529176.666666666</v>
      </c>
      <c r="Y20" s="151">
        <f t="shared" si="8"/>
        <v>2212067.2222222225</v>
      </c>
      <c r="Z20" s="151">
        <f t="shared" si="9"/>
        <v>2966171.1111111115</v>
      </c>
      <c r="AA20" s="151">
        <f t="shared" si="10"/>
        <v>2389911.111111111</v>
      </c>
      <c r="AB20" s="151">
        <f t="shared" si="11"/>
        <v>1123338.888888889</v>
      </c>
      <c r="AC20" s="151">
        <f t="shared" si="12"/>
        <v>807046.66666666663</v>
      </c>
      <c r="AD20" s="151">
        <f t="shared" si="13"/>
        <v>2993802.2222222225</v>
      </c>
      <c r="AE20" s="151">
        <f t="shared" si="14"/>
        <v>3355971.2698412696</v>
      </c>
      <c r="AF20" s="151">
        <f t="shared" si="15"/>
        <v>1175013.3333333333</v>
      </c>
      <c r="AG20" s="151">
        <f t="shared" si="16"/>
        <v>3722452.777777778</v>
      </c>
    </row>
    <row r="21" spans="1:33" ht="21" x14ac:dyDescent="0.25">
      <c r="A21" s="166">
        <v>43206</v>
      </c>
      <c r="B21" s="167">
        <f>SUMIFS('Larvae Collection'!$R:$R, 'Larvae Collection'!$A:$A,'SPAWNING PLOTS-raw'!$A21, 'Larvae Collection'!$D:$D, 'SPAWNING PLOTS-raw'!B$3)</f>
        <v>0</v>
      </c>
      <c r="C21" s="167">
        <f>SUMIFS('Larvae Collection'!$R:$R, 'Larvae Collection'!$A:$A,'SPAWNING PLOTS-raw'!$A21, 'Larvae Collection'!$D:$D, 'SPAWNING PLOTS-raw'!C$3)</f>
        <v>0</v>
      </c>
      <c r="D21" s="167">
        <f>SUMIFS('Larvae Collection'!$R:$R, 'Larvae Collection'!$A:$A,'SPAWNING PLOTS-raw'!$A21, 'Larvae Collection'!$D:$D, 'SPAWNING PLOTS-raw'!D$3)</f>
        <v>0</v>
      </c>
      <c r="E21" s="167">
        <f>SUMIFS('Larvae Collection'!$R:$R, 'Larvae Collection'!$A:$A,'SPAWNING PLOTS-raw'!$A21, 'Larvae Collection'!$D:$D, 'SPAWNING PLOTS-raw'!E$3)</f>
        <v>0</v>
      </c>
      <c r="F21" s="167">
        <f>SUMIFS('Larvae Collection'!$R:$R, 'Larvae Collection'!$A:$A,'SPAWNING PLOTS-raw'!$A21, 'Larvae Collection'!$D:$D, 'SPAWNING PLOTS-raw'!F$3)</f>
        <v>0</v>
      </c>
      <c r="G21" s="167">
        <f>SUMIFS('Larvae Collection'!$R:$R, 'Larvae Collection'!$A:$A,'SPAWNING PLOTS-raw'!$A21, 'Larvae Collection'!$D:$D, 'SPAWNING PLOTS-raw'!G$3)</f>
        <v>0</v>
      </c>
      <c r="H21" s="167">
        <f>SUMIFS('Larvae Collection'!$R:$R, 'Larvae Collection'!$A:$A,'SPAWNING PLOTS-raw'!$A21, 'Larvae Collection'!$D:$D, 'SPAWNING PLOTS-raw'!H$3)</f>
        <v>0</v>
      </c>
      <c r="I21" s="167">
        <f>SUMIFS('Larvae Collection'!$R:$R, 'Larvae Collection'!$A:$A,'SPAWNING PLOTS-raw'!$A21, 'Larvae Collection'!$D:$D, 'SPAWNING PLOTS-raw'!I$3)</f>
        <v>100994.44444444445</v>
      </c>
      <c r="J21" s="167">
        <f>SUMIFS('Larvae Collection'!$R:$R, 'Larvae Collection'!$A:$A,'SPAWNING PLOTS-raw'!$A21, 'Larvae Collection'!$D:$D, 'SPAWNING PLOTS-raw'!J$3)</f>
        <v>0</v>
      </c>
      <c r="K21" s="167">
        <f>SUMIFS('Larvae Collection'!$R:$R, 'Larvae Collection'!$A:$A,'SPAWNING PLOTS-raw'!$A21, 'Larvae Collection'!$D:$D, 'SPAWNING PLOTS-raw'!K$3)</f>
        <v>0</v>
      </c>
      <c r="L21" s="167">
        <f>SUMIFS('Larvae Collection'!$R:$R, 'Larvae Collection'!$A:$A,'SPAWNING PLOTS-raw'!$A21, 'Larvae Collection'!$D:$D, 'SPAWNING PLOTS-raw'!L$3)</f>
        <v>185645.83333333334</v>
      </c>
      <c r="M21" s="167">
        <f>SUMIFS('Larvae Collection'!$R:$R, 'Larvae Collection'!$A:$A,'SPAWNING PLOTS-raw'!$A21, 'Larvae Collection'!$D:$D, 'SPAWNING PLOTS-raw'!M$3)</f>
        <v>11875</v>
      </c>
      <c r="N21" s="167">
        <f>SUMIFS('Larvae Collection'!$R:$R, 'Larvae Collection'!$A:$A,'SPAWNING PLOTS-raw'!$A21, 'Larvae Collection'!$D:$D, 'SPAWNING PLOTS-raw'!N$3)</f>
        <v>0</v>
      </c>
      <c r="O21" s="167">
        <f>SUMIFS('Larvae Collection'!$R:$R, 'Larvae Collection'!$A:$A,'SPAWNING PLOTS-raw'!$A21, 'Larvae Collection'!$D:$D, 'SPAWNING PLOTS-raw'!O$3)</f>
        <v>0</v>
      </c>
      <c r="P21" s="167">
        <f>SUMIFS('Larvae Collection'!$R:$R, 'Larvae Collection'!$A:$A,'SPAWNING PLOTS-raw'!$A21, 'Larvae Collection'!$D:$D, 'SPAWNING PLOTS-raw'!P$3)</f>
        <v>0</v>
      </c>
      <c r="Q21" s="167">
        <f>SUMIFS('Larvae Collection'!$R:$R, 'Larvae Collection'!$A:$A,'SPAWNING PLOTS-raw'!$A21, 'Larvae Collection'!$D:$D, 'SPAWNING PLOTS-raw'!Q$3)</f>
        <v>0</v>
      </c>
      <c r="R21" s="151">
        <f t="shared" ref="R21:R31" si="17">SUMIFS(B$4:B$31, $A$4:$A$31, "&lt;="&amp;$A21)</f>
        <v>4486881.2698412705</v>
      </c>
      <c r="S21" s="151">
        <f t="shared" si="2"/>
        <v>2923726.666666667</v>
      </c>
      <c r="T21" s="151">
        <f t="shared" si="3"/>
        <v>3238487.2222222225</v>
      </c>
      <c r="U21" s="151">
        <f t="shared" si="4"/>
        <v>1184371.4285714286</v>
      </c>
      <c r="V21" s="151">
        <f t="shared" si="5"/>
        <v>1773019.0476190476</v>
      </c>
      <c r="W21" s="151">
        <f t="shared" si="6"/>
        <v>2997948.8888888885</v>
      </c>
      <c r="X21" s="151">
        <f t="shared" si="7"/>
        <v>4529176.666666666</v>
      </c>
      <c r="Y21" s="151">
        <f t="shared" si="8"/>
        <v>2313061.666666667</v>
      </c>
      <c r="Z21" s="151">
        <f t="shared" si="9"/>
        <v>2966171.1111111115</v>
      </c>
      <c r="AA21" s="151">
        <f t="shared" si="10"/>
        <v>2389911.111111111</v>
      </c>
      <c r="AB21" s="151">
        <f t="shared" si="11"/>
        <v>1308984.7222222222</v>
      </c>
      <c r="AC21" s="151">
        <f t="shared" si="12"/>
        <v>818921.66666666663</v>
      </c>
      <c r="AD21" s="151">
        <f t="shared" si="13"/>
        <v>2993802.2222222225</v>
      </c>
      <c r="AE21" s="151">
        <f t="shared" si="14"/>
        <v>3355971.2698412696</v>
      </c>
      <c r="AF21" s="151">
        <f t="shared" si="15"/>
        <v>1175013.3333333333</v>
      </c>
      <c r="AG21" s="151">
        <f t="shared" si="16"/>
        <v>3722452.777777778</v>
      </c>
    </row>
    <row r="22" spans="1:33" ht="21" x14ac:dyDescent="0.25">
      <c r="A22" s="166">
        <v>43207</v>
      </c>
      <c r="B22" s="168">
        <f>SUMIFS('Larvae Collection'!$R:$R, 'Larvae Collection'!$A:$A,'SPAWNING PLOTS-raw'!$A22, 'Larvae Collection'!$D:$D, 'SPAWNING PLOTS-raw'!B$3)</f>
        <v>0</v>
      </c>
      <c r="C22" s="168">
        <f>SUMIFS('Larvae Collection'!$R:$R, 'Larvae Collection'!$A:$A,'SPAWNING PLOTS-raw'!$A22, 'Larvae Collection'!$D:$D, 'SPAWNING PLOTS-raw'!C$3)</f>
        <v>0</v>
      </c>
      <c r="D22" s="167">
        <f>SUMIFS('Larvae Collection'!$R:$R, 'Larvae Collection'!$A:$A,'SPAWNING PLOTS-raw'!$A22, 'Larvae Collection'!$D:$D, 'SPAWNING PLOTS-raw'!D$3)</f>
        <v>0</v>
      </c>
      <c r="E22" s="167">
        <f>SUMIFS('Larvae Collection'!$R:$R, 'Larvae Collection'!$A:$A,'SPAWNING PLOTS-raw'!$A22, 'Larvae Collection'!$D:$D, 'SPAWNING PLOTS-raw'!E$3)</f>
        <v>14596.190476190477</v>
      </c>
      <c r="F22" s="167">
        <f>SUMIFS('Larvae Collection'!$R:$R, 'Larvae Collection'!$A:$A,'SPAWNING PLOTS-raw'!$A22, 'Larvae Collection'!$D:$D, 'SPAWNING PLOTS-raw'!F$3)</f>
        <v>0</v>
      </c>
      <c r="G22" s="167">
        <f>SUMIFS('Larvae Collection'!$R:$R, 'Larvae Collection'!$A:$A,'SPAWNING PLOTS-raw'!$A22, 'Larvae Collection'!$D:$D, 'SPAWNING PLOTS-raw'!G$3)</f>
        <v>0</v>
      </c>
      <c r="H22" s="167">
        <f>SUMIFS('Larvae Collection'!$R:$R, 'Larvae Collection'!$A:$A,'SPAWNING PLOTS-raw'!$A22, 'Larvae Collection'!$D:$D, 'SPAWNING PLOTS-raw'!H$3)</f>
        <v>0</v>
      </c>
      <c r="I22" s="167">
        <f>SUMIFS('Larvae Collection'!$R:$R, 'Larvae Collection'!$A:$A,'SPAWNING PLOTS-raw'!$A22, 'Larvae Collection'!$D:$D, 'SPAWNING PLOTS-raw'!I$3)</f>
        <v>0</v>
      </c>
      <c r="J22" s="167">
        <f>SUMIFS('Larvae Collection'!$R:$R, 'Larvae Collection'!$A:$A,'SPAWNING PLOTS-raw'!$A22, 'Larvae Collection'!$D:$D, 'SPAWNING PLOTS-raw'!J$3)</f>
        <v>24083.333333333332</v>
      </c>
      <c r="K22" s="167">
        <f>SUMIFS('Larvae Collection'!$R:$R, 'Larvae Collection'!$A:$A,'SPAWNING PLOTS-raw'!$A22, 'Larvae Collection'!$D:$D, 'SPAWNING PLOTS-raw'!K$3)</f>
        <v>0</v>
      </c>
      <c r="L22" s="167">
        <f>SUMIFS('Larvae Collection'!$R:$R, 'Larvae Collection'!$A:$A,'SPAWNING PLOTS-raw'!$A22, 'Larvae Collection'!$D:$D, 'SPAWNING PLOTS-raw'!L$3)</f>
        <v>0</v>
      </c>
      <c r="M22" s="167">
        <f>SUMIFS('Larvae Collection'!$R:$R, 'Larvae Collection'!$A:$A,'SPAWNING PLOTS-raw'!$A22, 'Larvae Collection'!$D:$D, 'SPAWNING PLOTS-raw'!M$3)</f>
        <v>0</v>
      </c>
      <c r="N22" s="167">
        <f>SUMIFS('Larvae Collection'!$R:$R, 'Larvae Collection'!$A:$A,'SPAWNING PLOTS-raw'!$A22, 'Larvae Collection'!$D:$D, 'SPAWNING PLOTS-raw'!N$3)</f>
        <v>0</v>
      </c>
      <c r="O22" s="167">
        <f>SUMIFS('Larvae Collection'!$R:$R, 'Larvae Collection'!$A:$A,'SPAWNING PLOTS-raw'!$A22, 'Larvae Collection'!$D:$D, 'SPAWNING PLOTS-raw'!O$3)</f>
        <v>0</v>
      </c>
      <c r="P22" s="167">
        <f>SUMIFS('Larvae Collection'!$R:$R, 'Larvae Collection'!$A:$A,'SPAWNING PLOTS-raw'!$A22, 'Larvae Collection'!$D:$D, 'SPAWNING PLOTS-raw'!P$3)</f>
        <v>0</v>
      </c>
      <c r="Q22" s="167">
        <f>SUMIFS('Larvae Collection'!$R:$R, 'Larvae Collection'!$A:$A,'SPAWNING PLOTS-raw'!$A22, 'Larvae Collection'!$D:$D, 'SPAWNING PLOTS-raw'!Q$3)</f>
        <v>0</v>
      </c>
      <c r="R22" s="151">
        <f t="shared" si="17"/>
        <v>4486881.2698412705</v>
      </c>
      <c r="S22" s="151">
        <f t="shared" si="2"/>
        <v>2923726.666666667</v>
      </c>
      <c r="T22" s="151">
        <f t="shared" si="3"/>
        <v>3238487.2222222225</v>
      </c>
      <c r="U22" s="151">
        <f t="shared" si="4"/>
        <v>1198967.6190476192</v>
      </c>
      <c r="V22" s="151">
        <f t="shared" si="5"/>
        <v>1773019.0476190476</v>
      </c>
      <c r="W22" s="151">
        <f t="shared" si="6"/>
        <v>2997948.8888888885</v>
      </c>
      <c r="X22" s="151">
        <f t="shared" si="7"/>
        <v>4529176.666666666</v>
      </c>
      <c r="Y22" s="151">
        <f t="shared" si="8"/>
        <v>2313061.666666667</v>
      </c>
      <c r="Z22" s="151">
        <f t="shared" si="9"/>
        <v>2990254.444444445</v>
      </c>
      <c r="AA22" s="151">
        <f t="shared" si="10"/>
        <v>2389911.111111111</v>
      </c>
      <c r="AB22" s="151">
        <f t="shared" si="11"/>
        <v>1308984.7222222222</v>
      </c>
      <c r="AC22" s="151">
        <f t="shared" si="12"/>
        <v>818921.66666666663</v>
      </c>
      <c r="AD22" s="151">
        <f t="shared" si="13"/>
        <v>2993802.2222222225</v>
      </c>
      <c r="AE22" s="151">
        <f t="shared" si="14"/>
        <v>3355971.2698412696</v>
      </c>
      <c r="AF22" s="151">
        <f t="shared" si="15"/>
        <v>1175013.3333333333</v>
      </c>
      <c r="AG22" s="151">
        <f t="shared" si="16"/>
        <v>3722452.777777778</v>
      </c>
    </row>
    <row r="23" spans="1:33" ht="21" x14ac:dyDescent="0.25">
      <c r="A23" s="166">
        <v>43208</v>
      </c>
      <c r="B23" s="167">
        <f>SUMIFS('Larvae Collection'!$R:$R, 'Larvae Collection'!$A:$A,'SPAWNING PLOTS-raw'!$A23, 'Larvae Collection'!$D:$D, 'SPAWNING PLOTS-raw'!B$3)</f>
        <v>53100</v>
      </c>
      <c r="C23" s="167">
        <f>SUMIFS('Larvae Collection'!$R:$R, 'Larvae Collection'!$A:$A,'SPAWNING PLOTS-raw'!$A23, 'Larvae Collection'!$D:$D, 'SPAWNING PLOTS-raw'!C$3)</f>
        <v>0</v>
      </c>
      <c r="D23" s="167">
        <f>SUMIFS('Larvae Collection'!$R:$R, 'Larvae Collection'!$A:$A,'SPAWNING PLOTS-raw'!$A23, 'Larvae Collection'!$D:$D, 'SPAWNING PLOTS-raw'!D$3)</f>
        <v>0</v>
      </c>
      <c r="E23" s="167">
        <f>SUMIFS('Larvae Collection'!$R:$R, 'Larvae Collection'!$A:$A,'SPAWNING PLOTS-raw'!$A23, 'Larvae Collection'!$D:$D, 'SPAWNING PLOTS-raw'!E$3)</f>
        <v>0</v>
      </c>
      <c r="F23" s="167">
        <f>SUMIFS('Larvae Collection'!$R:$R, 'Larvae Collection'!$A:$A,'SPAWNING PLOTS-raw'!$A23, 'Larvae Collection'!$D:$D, 'SPAWNING PLOTS-raw'!F$3)</f>
        <v>0</v>
      </c>
      <c r="G23" s="167">
        <f>SUMIFS('Larvae Collection'!$R:$R, 'Larvae Collection'!$A:$A,'SPAWNING PLOTS-raw'!$A23, 'Larvae Collection'!$D:$D, 'SPAWNING PLOTS-raw'!G$3)</f>
        <v>0</v>
      </c>
      <c r="H23" s="168">
        <f>SUMIFS('Larvae Collection'!$R:$R, 'Larvae Collection'!$A:$A,'SPAWNING PLOTS-raw'!$A23, 'Larvae Collection'!$D:$D, 'SPAWNING PLOTS-raw'!H$3)</f>
        <v>0</v>
      </c>
      <c r="I23" s="167">
        <f>SUMIFS('Larvae Collection'!$R:$R, 'Larvae Collection'!$A:$A,'SPAWNING PLOTS-raw'!$A23, 'Larvae Collection'!$D:$D, 'SPAWNING PLOTS-raw'!I$3)</f>
        <v>321066.66666666669</v>
      </c>
      <c r="J23" s="167">
        <f>SUMIFS('Larvae Collection'!$R:$R, 'Larvae Collection'!$A:$A,'SPAWNING PLOTS-raw'!$A23, 'Larvae Collection'!$D:$D, 'SPAWNING PLOTS-raw'!J$3)</f>
        <v>104500</v>
      </c>
      <c r="K23" s="167">
        <f>SUMIFS('Larvae Collection'!$R:$R, 'Larvae Collection'!$A:$A,'SPAWNING PLOTS-raw'!$A23, 'Larvae Collection'!$D:$D, 'SPAWNING PLOTS-raw'!K$3)</f>
        <v>0</v>
      </c>
      <c r="L23" s="167">
        <f>SUMIFS('Larvae Collection'!$R:$R, 'Larvae Collection'!$A:$A,'SPAWNING PLOTS-raw'!$A23, 'Larvae Collection'!$D:$D, 'SPAWNING PLOTS-raw'!L$3)</f>
        <v>0</v>
      </c>
      <c r="M23" s="167">
        <f>SUMIFS('Larvae Collection'!$R:$R, 'Larvae Collection'!$A:$A,'SPAWNING PLOTS-raw'!$A23, 'Larvae Collection'!$D:$D, 'SPAWNING PLOTS-raw'!M$3)</f>
        <v>0</v>
      </c>
      <c r="N23" s="167">
        <f>SUMIFS('Larvae Collection'!$R:$R, 'Larvae Collection'!$A:$A,'SPAWNING PLOTS-raw'!$A23, 'Larvae Collection'!$D:$D, 'SPAWNING PLOTS-raw'!N$3)</f>
        <v>0</v>
      </c>
      <c r="O23" s="167">
        <f>SUMIFS('Larvae Collection'!$R:$R, 'Larvae Collection'!$A:$A,'SPAWNING PLOTS-raw'!$A23, 'Larvae Collection'!$D:$D, 'SPAWNING PLOTS-raw'!O$3)</f>
        <v>32960</v>
      </c>
      <c r="P23" s="167">
        <f>SUMIFS('Larvae Collection'!$R:$R, 'Larvae Collection'!$A:$A,'SPAWNING PLOTS-raw'!$A23, 'Larvae Collection'!$D:$D, 'SPAWNING PLOTS-raw'!P$3)</f>
        <v>18800</v>
      </c>
      <c r="Q23" s="167">
        <f>SUMIFS('Larvae Collection'!$R:$R, 'Larvae Collection'!$A:$A,'SPAWNING PLOTS-raw'!$A23, 'Larvae Collection'!$D:$D, 'SPAWNING PLOTS-raw'!Q$3)</f>
        <v>156600</v>
      </c>
      <c r="R23" s="151">
        <f t="shared" si="17"/>
        <v>4539981.2698412705</v>
      </c>
      <c r="S23" s="151">
        <f t="shared" si="2"/>
        <v>2923726.666666667</v>
      </c>
      <c r="T23" s="151">
        <f t="shared" si="3"/>
        <v>3238487.2222222225</v>
      </c>
      <c r="U23" s="151">
        <f t="shared" si="4"/>
        <v>1198967.6190476192</v>
      </c>
      <c r="V23" s="151">
        <f t="shared" si="5"/>
        <v>1773019.0476190476</v>
      </c>
      <c r="W23" s="151">
        <f t="shared" si="6"/>
        <v>2997948.8888888885</v>
      </c>
      <c r="X23" s="151">
        <f t="shared" si="7"/>
        <v>4529176.666666666</v>
      </c>
      <c r="Y23" s="151">
        <f t="shared" si="8"/>
        <v>2634128.3333333335</v>
      </c>
      <c r="Z23" s="151">
        <f t="shared" si="9"/>
        <v>3094754.444444445</v>
      </c>
      <c r="AA23" s="151">
        <f t="shared" si="10"/>
        <v>2389911.111111111</v>
      </c>
      <c r="AB23" s="151">
        <f t="shared" si="11"/>
        <v>1308984.7222222222</v>
      </c>
      <c r="AC23" s="151">
        <f t="shared" si="12"/>
        <v>818921.66666666663</v>
      </c>
      <c r="AD23" s="151">
        <f t="shared" si="13"/>
        <v>2993802.2222222225</v>
      </c>
      <c r="AE23" s="151">
        <f t="shared" si="14"/>
        <v>3388931.2698412696</v>
      </c>
      <c r="AF23" s="151">
        <f t="shared" si="15"/>
        <v>1193813.3333333333</v>
      </c>
      <c r="AG23" s="151">
        <f t="shared" si="16"/>
        <v>3879052.777777778</v>
      </c>
    </row>
    <row r="24" spans="1:33" ht="21" x14ac:dyDescent="0.25">
      <c r="A24" s="166">
        <v>43209</v>
      </c>
      <c r="B24" s="167">
        <f>SUMIFS('Larvae Collection'!$R:$R, 'Larvae Collection'!$A:$A,'SPAWNING PLOTS-raw'!$A24, 'Larvae Collection'!$D:$D, 'SPAWNING PLOTS-raw'!B$3)</f>
        <v>0</v>
      </c>
      <c r="C24" s="167">
        <f>SUMIFS('Larvae Collection'!$R:$R, 'Larvae Collection'!$A:$A,'SPAWNING PLOTS-raw'!$A24, 'Larvae Collection'!$D:$D, 'SPAWNING PLOTS-raw'!C$3)</f>
        <v>0</v>
      </c>
      <c r="D24" s="167">
        <f>SUMIFS('Larvae Collection'!$R:$R, 'Larvae Collection'!$A:$A,'SPAWNING PLOTS-raw'!$A24, 'Larvae Collection'!$D:$D, 'SPAWNING PLOTS-raw'!D$3)</f>
        <v>0</v>
      </c>
      <c r="E24" s="167">
        <f>SUMIFS('Larvae Collection'!$R:$R, 'Larvae Collection'!$A:$A,'SPAWNING PLOTS-raw'!$A24, 'Larvae Collection'!$D:$D, 'SPAWNING PLOTS-raw'!E$3)</f>
        <v>0</v>
      </c>
      <c r="F24" s="167">
        <f>SUMIFS('Larvae Collection'!$R:$R, 'Larvae Collection'!$A:$A,'SPAWNING PLOTS-raw'!$A24, 'Larvae Collection'!$D:$D, 'SPAWNING PLOTS-raw'!F$3)</f>
        <v>100333.33333333334</v>
      </c>
      <c r="G24" s="167">
        <f>SUMIFS('Larvae Collection'!$R:$R, 'Larvae Collection'!$A:$A,'SPAWNING PLOTS-raw'!$A24, 'Larvae Collection'!$D:$D, 'SPAWNING PLOTS-raw'!G$3)</f>
        <v>0</v>
      </c>
      <c r="H24" s="167">
        <f>SUMIFS('Larvae Collection'!$R:$R, 'Larvae Collection'!$A:$A,'SPAWNING PLOTS-raw'!$A24, 'Larvae Collection'!$D:$D, 'SPAWNING PLOTS-raw'!H$3)</f>
        <v>0</v>
      </c>
      <c r="I24" s="167">
        <f>SUMIFS('Larvae Collection'!$R:$R, 'Larvae Collection'!$A:$A,'SPAWNING PLOTS-raw'!$A24, 'Larvae Collection'!$D:$D, 'SPAWNING PLOTS-raw'!I$3)</f>
        <v>0</v>
      </c>
      <c r="J24" s="167">
        <f>SUMIFS('Larvae Collection'!$R:$R, 'Larvae Collection'!$A:$A,'SPAWNING PLOTS-raw'!$A24, 'Larvae Collection'!$D:$D, 'SPAWNING PLOTS-raw'!J$3)</f>
        <v>0</v>
      </c>
      <c r="K24" s="167">
        <f>SUMIFS('Larvae Collection'!$R:$R, 'Larvae Collection'!$A:$A,'SPAWNING PLOTS-raw'!$A24, 'Larvae Collection'!$D:$D, 'SPAWNING PLOTS-raw'!K$3)</f>
        <v>73733.333333333328</v>
      </c>
      <c r="L24" s="167">
        <f>SUMIFS('Larvae Collection'!$R:$R, 'Larvae Collection'!$A:$A,'SPAWNING PLOTS-raw'!$A24, 'Larvae Collection'!$D:$D, 'SPAWNING PLOTS-raw'!L$3)</f>
        <v>0</v>
      </c>
      <c r="M24" s="167">
        <f>SUMIFS('Larvae Collection'!$R:$R, 'Larvae Collection'!$A:$A,'SPAWNING PLOTS-raw'!$A24, 'Larvae Collection'!$D:$D, 'SPAWNING PLOTS-raw'!M$3)</f>
        <v>442666.66666666669</v>
      </c>
      <c r="N24" s="167">
        <f>SUMIFS('Larvae Collection'!$R:$R, 'Larvae Collection'!$A:$A,'SPAWNING PLOTS-raw'!$A24, 'Larvae Collection'!$D:$D, 'SPAWNING PLOTS-raw'!N$3)</f>
        <v>0</v>
      </c>
      <c r="O24" s="167">
        <f>SUMIFS('Larvae Collection'!$R:$R, 'Larvae Collection'!$A:$A,'SPAWNING PLOTS-raw'!$A24, 'Larvae Collection'!$D:$D, 'SPAWNING PLOTS-raw'!O$3)</f>
        <v>0</v>
      </c>
      <c r="P24" s="167">
        <f>SUMIFS('Larvae Collection'!$R:$R, 'Larvae Collection'!$A:$A,'SPAWNING PLOTS-raw'!$A24, 'Larvae Collection'!$D:$D, 'SPAWNING PLOTS-raw'!P$3)</f>
        <v>311466.66666666669</v>
      </c>
      <c r="Q24" s="167">
        <f>SUMIFS('Larvae Collection'!$R:$R, 'Larvae Collection'!$A:$A,'SPAWNING PLOTS-raw'!$A24, 'Larvae Collection'!$D:$D, 'SPAWNING PLOTS-raw'!Q$3)</f>
        <v>0</v>
      </c>
      <c r="R24" s="151">
        <f t="shared" si="17"/>
        <v>4539981.2698412705</v>
      </c>
      <c r="S24" s="151">
        <f t="shared" si="2"/>
        <v>2923726.666666667</v>
      </c>
      <c r="T24" s="151">
        <f t="shared" si="3"/>
        <v>3238487.2222222225</v>
      </c>
      <c r="U24" s="151">
        <f t="shared" si="4"/>
        <v>1198967.6190476192</v>
      </c>
      <c r="V24" s="151">
        <f t="shared" si="5"/>
        <v>1873352.3809523808</v>
      </c>
      <c r="W24" s="151">
        <f t="shared" si="6"/>
        <v>2997948.8888888885</v>
      </c>
      <c r="X24" s="151">
        <f t="shared" si="7"/>
        <v>4529176.666666666</v>
      </c>
      <c r="Y24" s="151">
        <f t="shared" si="8"/>
        <v>2634128.3333333335</v>
      </c>
      <c r="Z24" s="151">
        <f t="shared" si="9"/>
        <v>3094754.444444445</v>
      </c>
      <c r="AA24" s="151">
        <f t="shared" si="10"/>
        <v>2463644.4444444445</v>
      </c>
      <c r="AB24" s="151">
        <f t="shared" si="11"/>
        <v>1308984.7222222222</v>
      </c>
      <c r="AC24" s="151">
        <f t="shared" si="12"/>
        <v>1261588.3333333333</v>
      </c>
      <c r="AD24" s="151">
        <f t="shared" si="13"/>
        <v>2993802.2222222225</v>
      </c>
      <c r="AE24" s="151">
        <f t="shared" si="14"/>
        <v>3388931.2698412696</v>
      </c>
      <c r="AF24" s="151">
        <f t="shared" si="15"/>
        <v>1505280</v>
      </c>
      <c r="AG24" s="151">
        <f t="shared" si="16"/>
        <v>3879052.777777778</v>
      </c>
    </row>
    <row r="25" spans="1:33" ht="21" x14ac:dyDescent="0.25">
      <c r="A25" s="166">
        <v>43210</v>
      </c>
      <c r="B25" s="167">
        <f>SUMIFS('Larvae Collection'!$R:$R, 'Larvae Collection'!$A:$A,'SPAWNING PLOTS-raw'!$A25, 'Larvae Collection'!$D:$D, 'SPAWNING PLOTS-raw'!B$3)</f>
        <v>170625</v>
      </c>
      <c r="C25" s="167">
        <f>SUMIFS('Larvae Collection'!$R:$R, 'Larvae Collection'!$A:$A,'SPAWNING PLOTS-raw'!$A25, 'Larvae Collection'!$D:$D, 'SPAWNING PLOTS-raw'!C$3)</f>
        <v>0</v>
      </c>
      <c r="D25" s="167">
        <f>SUMIFS('Larvae Collection'!$R:$R, 'Larvae Collection'!$A:$A,'SPAWNING PLOTS-raw'!$A25, 'Larvae Collection'!$D:$D, 'SPAWNING PLOTS-raw'!D$3)</f>
        <v>0</v>
      </c>
      <c r="E25" s="167">
        <f>SUMIFS('Larvae Collection'!$R:$R, 'Larvae Collection'!$A:$A,'SPAWNING PLOTS-raw'!$A25, 'Larvae Collection'!$D:$D, 'SPAWNING PLOTS-raw'!E$3)</f>
        <v>0</v>
      </c>
      <c r="F25" s="167">
        <f>SUMIFS('Larvae Collection'!$R:$R, 'Larvae Collection'!$A:$A,'SPAWNING PLOTS-raw'!$A25, 'Larvae Collection'!$D:$D, 'SPAWNING PLOTS-raw'!F$3)</f>
        <v>35522.222222222226</v>
      </c>
      <c r="G25" s="167">
        <f>SUMIFS('Larvae Collection'!$R:$R, 'Larvae Collection'!$A:$A,'SPAWNING PLOTS-raw'!$A25, 'Larvae Collection'!$D:$D, 'SPAWNING PLOTS-raw'!G$3)</f>
        <v>425125</v>
      </c>
      <c r="H25" s="167">
        <f>SUMIFS('Larvae Collection'!$R:$R, 'Larvae Collection'!$A:$A,'SPAWNING PLOTS-raw'!$A25, 'Larvae Collection'!$D:$D, 'SPAWNING PLOTS-raw'!H$3)</f>
        <v>121000</v>
      </c>
      <c r="I25" s="167">
        <f>SUMIFS('Larvae Collection'!$R:$R, 'Larvae Collection'!$A:$A,'SPAWNING PLOTS-raw'!$A25, 'Larvae Collection'!$D:$D, 'SPAWNING PLOTS-raw'!I$3)</f>
        <v>0</v>
      </c>
      <c r="J25" s="167">
        <f>SUMIFS('Larvae Collection'!$R:$R, 'Larvae Collection'!$A:$A,'SPAWNING PLOTS-raw'!$A25, 'Larvae Collection'!$D:$D, 'SPAWNING PLOTS-raw'!J$3)</f>
        <v>0</v>
      </c>
      <c r="K25" s="167">
        <f>SUMIFS('Larvae Collection'!$R:$R, 'Larvae Collection'!$A:$A,'SPAWNING PLOTS-raw'!$A25, 'Larvae Collection'!$D:$D, 'SPAWNING PLOTS-raw'!K$3)</f>
        <v>0</v>
      </c>
      <c r="L25" s="167">
        <f>SUMIFS('Larvae Collection'!$R:$R, 'Larvae Collection'!$A:$A,'SPAWNING PLOTS-raw'!$A25, 'Larvae Collection'!$D:$D, 'SPAWNING PLOTS-raw'!L$3)</f>
        <v>466250</v>
      </c>
      <c r="M25" s="167">
        <f>SUMIFS('Larvae Collection'!$R:$R, 'Larvae Collection'!$A:$A,'SPAWNING PLOTS-raw'!$A25, 'Larvae Collection'!$D:$D, 'SPAWNING PLOTS-raw'!M$3)</f>
        <v>0</v>
      </c>
      <c r="N25" s="167">
        <f>SUMIFS('Larvae Collection'!$R:$R, 'Larvae Collection'!$A:$A,'SPAWNING PLOTS-raw'!$A25, 'Larvae Collection'!$D:$D, 'SPAWNING PLOTS-raw'!N$3)</f>
        <v>0</v>
      </c>
      <c r="O25" s="167">
        <f>SUMIFS('Larvae Collection'!$R:$R, 'Larvae Collection'!$A:$A,'SPAWNING PLOTS-raw'!$A25, 'Larvae Collection'!$D:$D, 'SPAWNING PLOTS-raw'!O$3)</f>
        <v>0</v>
      </c>
      <c r="P25" s="167">
        <f>SUMIFS('Larvae Collection'!$R:$R, 'Larvae Collection'!$A:$A,'SPAWNING PLOTS-raw'!$A25, 'Larvae Collection'!$D:$D, 'SPAWNING PLOTS-raw'!P$3)</f>
        <v>541800</v>
      </c>
      <c r="Q25" s="167">
        <f>SUMIFS('Larvae Collection'!$R:$R, 'Larvae Collection'!$A:$A,'SPAWNING PLOTS-raw'!$A25, 'Larvae Collection'!$D:$D, 'SPAWNING PLOTS-raw'!Q$3)</f>
        <v>0</v>
      </c>
      <c r="R25" s="151">
        <f t="shared" si="17"/>
        <v>4710606.2698412705</v>
      </c>
      <c r="S25" s="151">
        <f t="shared" si="2"/>
        <v>2923726.666666667</v>
      </c>
      <c r="T25" s="151">
        <f t="shared" si="3"/>
        <v>3238487.2222222225</v>
      </c>
      <c r="U25" s="151">
        <f t="shared" si="4"/>
        <v>1198967.6190476192</v>
      </c>
      <c r="V25" s="151">
        <f t="shared" si="5"/>
        <v>1908874.6031746031</v>
      </c>
      <c r="W25" s="151">
        <f t="shared" si="6"/>
        <v>3423073.8888888885</v>
      </c>
      <c r="X25" s="151">
        <f t="shared" si="7"/>
        <v>4650176.666666666</v>
      </c>
      <c r="Y25" s="151">
        <f t="shared" si="8"/>
        <v>2634128.3333333335</v>
      </c>
      <c r="Z25" s="151">
        <f t="shared" si="9"/>
        <v>3094754.444444445</v>
      </c>
      <c r="AA25" s="151">
        <f t="shared" si="10"/>
        <v>2463644.4444444445</v>
      </c>
      <c r="AB25" s="151">
        <f t="shared" si="11"/>
        <v>1775234.7222222222</v>
      </c>
      <c r="AC25" s="151">
        <f t="shared" si="12"/>
        <v>1261588.3333333333</v>
      </c>
      <c r="AD25" s="151">
        <f t="shared" si="13"/>
        <v>2993802.2222222225</v>
      </c>
      <c r="AE25" s="151">
        <f t="shared" si="14"/>
        <v>3388931.2698412696</v>
      </c>
      <c r="AF25" s="151">
        <f t="shared" si="15"/>
        <v>2047080</v>
      </c>
      <c r="AG25" s="151">
        <f t="shared" si="16"/>
        <v>3879052.777777778</v>
      </c>
    </row>
    <row r="26" spans="1:33" ht="21" x14ac:dyDescent="0.25">
      <c r="A26" s="166">
        <v>43211</v>
      </c>
      <c r="B26" s="167">
        <f>SUMIFS('Larvae Collection'!$R:$R, 'Larvae Collection'!$A:$A,'SPAWNING PLOTS-raw'!$A26, 'Larvae Collection'!$D:$D, 'SPAWNING PLOTS-raw'!B$3)</f>
        <v>1018333.3333333333</v>
      </c>
      <c r="C26" s="167">
        <f>SUMIFS('Larvae Collection'!$R:$R, 'Larvae Collection'!$A:$A,'SPAWNING PLOTS-raw'!$A26, 'Larvae Collection'!$D:$D, 'SPAWNING PLOTS-raw'!C$3)</f>
        <v>0</v>
      </c>
      <c r="D26" s="167">
        <f>SUMIFS('Larvae Collection'!$R:$R, 'Larvae Collection'!$A:$A,'SPAWNING PLOTS-raw'!$A26, 'Larvae Collection'!$D:$D, 'SPAWNING PLOTS-raw'!D$3)</f>
        <v>0</v>
      </c>
      <c r="E26" s="167">
        <f>SUMIFS('Larvae Collection'!$R:$R, 'Larvae Collection'!$A:$A,'SPAWNING PLOTS-raw'!$A26, 'Larvae Collection'!$D:$D, 'SPAWNING PLOTS-raw'!E$3)</f>
        <v>0</v>
      </c>
      <c r="F26" s="167">
        <f>SUMIFS('Larvae Collection'!$R:$R, 'Larvae Collection'!$A:$A,'SPAWNING PLOTS-raw'!$A26, 'Larvae Collection'!$D:$D, 'SPAWNING PLOTS-raw'!F$3)</f>
        <v>0</v>
      </c>
      <c r="G26" s="167">
        <f>SUMIFS('Larvae Collection'!$R:$R, 'Larvae Collection'!$A:$A,'SPAWNING PLOTS-raw'!$A26, 'Larvae Collection'!$D:$D, 'SPAWNING PLOTS-raw'!G$3)</f>
        <v>0</v>
      </c>
      <c r="H26" s="167">
        <f>SUMIFS('Larvae Collection'!$R:$R, 'Larvae Collection'!$A:$A,'SPAWNING PLOTS-raw'!$A26, 'Larvae Collection'!$D:$D, 'SPAWNING PLOTS-raw'!H$3)</f>
        <v>0</v>
      </c>
      <c r="I26" s="167">
        <f>SUMIFS('Larvae Collection'!$R:$R, 'Larvae Collection'!$A:$A,'SPAWNING PLOTS-raw'!$A26, 'Larvae Collection'!$D:$D, 'SPAWNING PLOTS-raw'!I$3)</f>
        <v>260444.44444444447</v>
      </c>
      <c r="J26" s="167">
        <f>SUMIFS('Larvae Collection'!$R:$R, 'Larvae Collection'!$A:$A,'SPAWNING PLOTS-raw'!$A26, 'Larvae Collection'!$D:$D, 'SPAWNING PLOTS-raw'!J$3)</f>
        <v>0</v>
      </c>
      <c r="K26" s="167">
        <f>SUMIFS('Larvae Collection'!$R:$R, 'Larvae Collection'!$A:$A,'SPAWNING PLOTS-raw'!$A26, 'Larvae Collection'!$D:$D, 'SPAWNING PLOTS-raw'!K$3)</f>
        <v>0</v>
      </c>
      <c r="L26" s="167">
        <f>SUMIFS('Larvae Collection'!$R:$R, 'Larvae Collection'!$A:$A,'SPAWNING PLOTS-raw'!$A26, 'Larvae Collection'!$D:$D, 'SPAWNING PLOTS-raw'!L$3)</f>
        <v>0</v>
      </c>
      <c r="M26" s="167">
        <f>SUMIFS('Larvae Collection'!$R:$R, 'Larvae Collection'!$A:$A,'SPAWNING PLOTS-raw'!$A26, 'Larvae Collection'!$D:$D, 'SPAWNING PLOTS-raw'!M$3)</f>
        <v>0</v>
      </c>
      <c r="N26" s="167">
        <f>SUMIFS('Larvae Collection'!$R:$R, 'Larvae Collection'!$A:$A,'SPAWNING PLOTS-raw'!$A26, 'Larvae Collection'!$D:$D, 'SPAWNING PLOTS-raw'!N$3)</f>
        <v>0</v>
      </c>
      <c r="O26" s="167">
        <f>SUMIFS('Larvae Collection'!$R:$R, 'Larvae Collection'!$A:$A,'SPAWNING PLOTS-raw'!$A26, 'Larvae Collection'!$D:$D, 'SPAWNING PLOTS-raw'!O$3)</f>
        <v>0</v>
      </c>
      <c r="P26" s="167">
        <f>SUMIFS('Larvae Collection'!$R:$R, 'Larvae Collection'!$A:$A,'SPAWNING PLOTS-raw'!$A26, 'Larvae Collection'!$D:$D, 'SPAWNING PLOTS-raw'!P$3)</f>
        <v>0</v>
      </c>
      <c r="Q26" s="167">
        <f>SUMIFS('Larvae Collection'!$R:$R, 'Larvae Collection'!$A:$A,'SPAWNING PLOTS-raw'!$A26, 'Larvae Collection'!$D:$D, 'SPAWNING PLOTS-raw'!Q$3)</f>
        <v>0</v>
      </c>
      <c r="R26" s="151">
        <f t="shared" si="17"/>
        <v>5728939.6031746035</v>
      </c>
      <c r="S26" s="151">
        <f t="shared" si="2"/>
        <v>2923726.666666667</v>
      </c>
      <c r="T26" s="151">
        <f t="shared" si="3"/>
        <v>3238487.2222222225</v>
      </c>
      <c r="U26" s="151">
        <f t="shared" si="4"/>
        <v>1198967.6190476192</v>
      </c>
      <c r="V26" s="151">
        <f t="shared" si="5"/>
        <v>1908874.6031746031</v>
      </c>
      <c r="W26" s="151">
        <f t="shared" si="6"/>
        <v>3423073.8888888885</v>
      </c>
      <c r="X26" s="151">
        <f t="shared" si="7"/>
        <v>4650176.666666666</v>
      </c>
      <c r="Y26" s="151">
        <f t="shared" si="8"/>
        <v>2894572.777777778</v>
      </c>
      <c r="Z26" s="151">
        <f t="shared" si="9"/>
        <v>3094754.444444445</v>
      </c>
      <c r="AA26" s="151">
        <f t="shared" si="10"/>
        <v>2463644.4444444445</v>
      </c>
      <c r="AB26" s="151">
        <f t="shared" si="11"/>
        <v>1775234.7222222222</v>
      </c>
      <c r="AC26" s="151">
        <f t="shared" si="12"/>
        <v>1261588.3333333333</v>
      </c>
      <c r="AD26" s="151">
        <f t="shared" si="13"/>
        <v>2993802.2222222225</v>
      </c>
      <c r="AE26" s="151">
        <f t="shared" si="14"/>
        <v>3388931.2698412696</v>
      </c>
      <c r="AF26" s="151">
        <f t="shared" si="15"/>
        <v>2047080</v>
      </c>
      <c r="AG26" s="151">
        <f t="shared" si="16"/>
        <v>3879052.777777778</v>
      </c>
    </row>
    <row r="27" spans="1:33" ht="21" x14ac:dyDescent="0.25">
      <c r="A27" s="166">
        <v>43212</v>
      </c>
      <c r="B27" s="167">
        <f>SUMIFS('Larvae Collection'!$R:$R, 'Larvae Collection'!$A:$A,'SPAWNING PLOTS-raw'!$A27, 'Larvae Collection'!$D:$D, 'SPAWNING PLOTS-raw'!B$3)</f>
        <v>0</v>
      </c>
      <c r="C27" s="168">
        <f>SUMIFS('Larvae Collection'!$R:$R, 'Larvae Collection'!$A:$A,'SPAWNING PLOTS-raw'!$A27, 'Larvae Collection'!$D:$D, 'SPAWNING PLOTS-raw'!C$3)</f>
        <v>212800</v>
      </c>
      <c r="D27" s="167">
        <f>SUMIFS('Larvae Collection'!$R:$R, 'Larvae Collection'!$A:$A,'SPAWNING PLOTS-raw'!$A27, 'Larvae Collection'!$D:$D, 'SPAWNING PLOTS-raw'!D$3)</f>
        <v>0</v>
      </c>
      <c r="E27" s="167">
        <f>SUMIFS('Larvae Collection'!$R:$R, 'Larvae Collection'!$A:$A,'SPAWNING PLOTS-raw'!$A27, 'Larvae Collection'!$D:$D, 'SPAWNING PLOTS-raw'!E$3)</f>
        <v>0</v>
      </c>
      <c r="F27" s="167">
        <f>SUMIFS('Larvae Collection'!$R:$R, 'Larvae Collection'!$A:$A,'SPAWNING PLOTS-raw'!$A27, 'Larvae Collection'!$D:$D, 'SPAWNING PLOTS-raw'!F$3)</f>
        <v>279711.11111111107</v>
      </c>
      <c r="G27" s="167">
        <f>SUMIFS('Larvae Collection'!$R:$R, 'Larvae Collection'!$A:$A,'SPAWNING PLOTS-raw'!$A27, 'Larvae Collection'!$D:$D, 'SPAWNING PLOTS-raw'!G$3)</f>
        <v>0</v>
      </c>
      <c r="H27" s="167">
        <f>SUMIFS('Larvae Collection'!$R:$R, 'Larvae Collection'!$A:$A,'SPAWNING PLOTS-raw'!$A27, 'Larvae Collection'!$D:$D, 'SPAWNING PLOTS-raw'!H$3)</f>
        <v>0</v>
      </c>
      <c r="I27" s="167">
        <f>SUMIFS('Larvae Collection'!$R:$R, 'Larvae Collection'!$A:$A,'SPAWNING PLOTS-raw'!$A27, 'Larvae Collection'!$D:$D, 'SPAWNING PLOTS-raw'!I$3)</f>
        <v>58208.333333333328</v>
      </c>
      <c r="J27" s="167">
        <f>SUMIFS('Larvae Collection'!$R:$R, 'Larvae Collection'!$A:$A,'SPAWNING PLOTS-raw'!$A27, 'Larvae Collection'!$D:$D, 'SPAWNING PLOTS-raw'!J$3)</f>
        <v>0</v>
      </c>
      <c r="K27" s="167">
        <f>SUMIFS('Larvae Collection'!$R:$R, 'Larvae Collection'!$A:$A,'SPAWNING PLOTS-raw'!$A27, 'Larvae Collection'!$D:$D, 'SPAWNING PLOTS-raw'!K$3)</f>
        <v>0</v>
      </c>
      <c r="L27" s="167">
        <f>SUMIFS('Larvae Collection'!$R:$R, 'Larvae Collection'!$A:$A,'SPAWNING PLOTS-raw'!$A27, 'Larvae Collection'!$D:$D, 'SPAWNING PLOTS-raw'!L$3)</f>
        <v>0</v>
      </c>
      <c r="M27" s="168">
        <f>SUMIFS('Larvae Collection'!$R:$R, 'Larvae Collection'!$A:$A,'SPAWNING PLOTS-raw'!$A27, 'Larvae Collection'!$D:$D, 'SPAWNING PLOTS-raw'!M$3)</f>
        <v>0</v>
      </c>
      <c r="N27" s="167">
        <f>SUMIFS('Larvae Collection'!$R:$R, 'Larvae Collection'!$A:$A,'SPAWNING PLOTS-raw'!$A27, 'Larvae Collection'!$D:$D, 'SPAWNING PLOTS-raw'!N$3)</f>
        <v>291188.88888888893</v>
      </c>
      <c r="O27" s="167">
        <f>SUMIFS('Larvae Collection'!$R:$R, 'Larvae Collection'!$A:$A,'SPAWNING PLOTS-raw'!$A27, 'Larvae Collection'!$D:$D, 'SPAWNING PLOTS-raw'!O$3)</f>
        <v>0</v>
      </c>
      <c r="P27" s="167">
        <f>SUMIFS('Larvae Collection'!$R:$R, 'Larvae Collection'!$A:$A,'SPAWNING PLOTS-raw'!$A27, 'Larvae Collection'!$D:$D, 'SPAWNING PLOTS-raw'!P$3)</f>
        <v>644800</v>
      </c>
      <c r="Q27" s="167">
        <f>SUMIFS('Larvae Collection'!$R:$R, 'Larvae Collection'!$A:$A,'SPAWNING PLOTS-raw'!$A27, 'Larvae Collection'!$D:$D, 'SPAWNING PLOTS-raw'!Q$3)</f>
        <v>0</v>
      </c>
      <c r="R27" s="151">
        <f t="shared" si="17"/>
        <v>5728939.6031746035</v>
      </c>
      <c r="S27" s="151">
        <f t="shared" si="2"/>
        <v>3136526.666666667</v>
      </c>
      <c r="T27" s="151">
        <f t="shared" si="3"/>
        <v>3238487.2222222225</v>
      </c>
      <c r="U27" s="151">
        <f t="shared" si="4"/>
        <v>1198967.6190476192</v>
      </c>
      <c r="V27" s="151">
        <f t="shared" si="5"/>
        <v>2188585.7142857141</v>
      </c>
      <c r="W27" s="151">
        <f t="shared" si="6"/>
        <v>3423073.8888888885</v>
      </c>
      <c r="X27" s="151">
        <f t="shared" si="7"/>
        <v>4650176.666666666</v>
      </c>
      <c r="Y27" s="151">
        <f t="shared" si="8"/>
        <v>2952781.1111111115</v>
      </c>
      <c r="Z27" s="151">
        <f t="shared" si="9"/>
        <v>3094754.444444445</v>
      </c>
      <c r="AA27" s="151">
        <f t="shared" si="10"/>
        <v>2463644.4444444445</v>
      </c>
      <c r="AB27" s="151">
        <f t="shared" si="11"/>
        <v>1775234.7222222222</v>
      </c>
      <c r="AC27" s="151">
        <f t="shared" si="12"/>
        <v>1261588.3333333333</v>
      </c>
      <c r="AD27" s="151">
        <f t="shared" si="13"/>
        <v>3284991.1111111115</v>
      </c>
      <c r="AE27" s="151">
        <f t="shared" si="14"/>
        <v>3388931.2698412696</v>
      </c>
      <c r="AF27" s="151">
        <f t="shared" si="15"/>
        <v>2691880</v>
      </c>
      <c r="AG27" s="151">
        <f t="shared" si="16"/>
        <v>3879052.777777778</v>
      </c>
    </row>
    <row r="28" spans="1:33" ht="21" x14ac:dyDescent="0.25">
      <c r="A28" s="166">
        <v>43213</v>
      </c>
      <c r="B28" s="167">
        <f>SUMIFS('Larvae Collection'!$R:$R, 'Larvae Collection'!$A:$A,'SPAWNING PLOTS-raw'!$A28, 'Larvae Collection'!$D:$D, 'SPAWNING PLOTS-raw'!B$3)</f>
        <v>0</v>
      </c>
      <c r="C28" s="167">
        <f>SUMIFS('Larvae Collection'!$R:$R, 'Larvae Collection'!$A:$A,'SPAWNING PLOTS-raw'!$A28, 'Larvae Collection'!$D:$D, 'SPAWNING PLOTS-raw'!C$3)</f>
        <v>0</v>
      </c>
      <c r="D28" s="167">
        <f>SUMIFS('Larvae Collection'!$R:$R, 'Larvae Collection'!$A:$A,'SPAWNING PLOTS-raw'!$A28, 'Larvae Collection'!$D:$D, 'SPAWNING PLOTS-raw'!D$3)</f>
        <v>0</v>
      </c>
      <c r="E28" s="167">
        <f>SUMIFS('Larvae Collection'!$R:$R, 'Larvae Collection'!$A:$A,'SPAWNING PLOTS-raw'!$A28, 'Larvae Collection'!$D:$D, 'SPAWNING PLOTS-raw'!E$3)</f>
        <v>0</v>
      </c>
      <c r="F28" s="167">
        <f>SUMIFS('Larvae Collection'!$R:$R, 'Larvae Collection'!$A:$A,'SPAWNING PLOTS-raw'!$A28, 'Larvae Collection'!$D:$D, 'SPAWNING PLOTS-raw'!F$3)</f>
        <v>0</v>
      </c>
      <c r="G28" s="167">
        <f>SUMIFS('Larvae Collection'!$R:$R, 'Larvae Collection'!$A:$A,'SPAWNING PLOTS-raw'!$A28, 'Larvae Collection'!$D:$D, 'SPAWNING PLOTS-raw'!G$3)</f>
        <v>0</v>
      </c>
      <c r="H28" s="167">
        <f>SUMIFS('Larvae Collection'!$R:$R, 'Larvae Collection'!$A:$A,'SPAWNING PLOTS-raw'!$A28, 'Larvae Collection'!$D:$D, 'SPAWNING PLOTS-raw'!H$3)</f>
        <v>0</v>
      </c>
      <c r="I28" s="167">
        <f>SUMIFS('Larvae Collection'!$R:$R, 'Larvae Collection'!$A:$A,'SPAWNING PLOTS-raw'!$A28, 'Larvae Collection'!$D:$D, 'SPAWNING PLOTS-raw'!I$3)</f>
        <v>0</v>
      </c>
      <c r="J28" s="167">
        <f>SUMIFS('Larvae Collection'!$R:$R, 'Larvae Collection'!$A:$A,'SPAWNING PLOTS-raw'!$A28, 'Larvae Collection'!$D:$D, 'SPAWNING PLOTS-raw'!J$3)</f>
        <v>0</v>
      </c>
      <c r="K28" s="167">
        <f>SUMIFS('Larvae Collection'!$R:$R, 'Larvae Collection'!$A:$A,'SPAWNING PLOTS-raw'!$A28, 'Larvae Collection'!$D:$D, 'SPAWNING PLOTS-raw'!K$3)</f>
        <v>0</v>
      </c>
      <c r="L28" s="167">
        <f>SUMIFS('Larvae Collection'!$R:$R, 'Larvae Collection'!$A:$A,'SPAWNING PLOTS-raw'!$A28, 'Larvae Collection'!$D:$D, 'SPAWNING PLOTS-raw'!L$3)</f>
        <v>0</v>
      </c>
      <c r="M28" s="167">
        <f>SUMIFS('Larvae Collection'!$R:$R, 'Larvae Collection'!$A:$A,'SPAWNING PLOTS-raw'!$A28, 'Larvae Collection'!$D:$D, 'SPAWNING PLOTS-raw'!M$3)</f>
        <v>0</v>
      </c>
      <c r="N28" s="167">
        <f>SUMIFS('Larvae Collection'!$R:$R, 'Larvae Collection'!$A:$A,'SPAWNING PLOTS-raw'!$A28, 'Larvae Collection'!$D:$D, 'SPAWNING PLOTS-raw'!N$3)</f>
        <v>0</v>
      </c>
      <c r="O28" s="167">
        <f>SUMIFS('Larvae Collection'!$R:$R, 'Larvae Collection'!$A:$A,'SPAWNING PLOTS-raw'!$A28, 'Larvae Collection'!$D:$D, 'SPAWNING PLOTS-raw'!O$3)</f>
        <v>0</v>
      </c>
      <c r="P28" s="167">
        <f>SUMIFS('Larvae Collection'!$R:$R, 'Larvae Collection'!$A:$A,'SPAWNING PLOTS-raw'!$A28, 'Larvae Collection'!$D:$D, 'SPAWNING PLOTS-raw'!P$3)</f>
        <v>0</v>
      </c>
      <c r="Q28" s="167">
        <f>SUMIFS('Larvae Collection'!$R:$R, 'Larvae Collection'!$A:$A,'SPAWNING PLOTS-raw'!$A28, 'Larvae Collection'!$D:$D, 'SPAWNING PLOTS-raw'!Q$3)</f>
        <v>0</v>
      </c>
      <c r="R28" s="151">
        <f t="shared" si="17"/>
        <v>5728939.6031746035</v>
      </c>
      <c r="S28" s="151">
        <f t="shared" si="2"/>
        <v>3136526.666666667</v>
      </c>
      <c r="T28" s="151">
        <f t="shared" si="3"/>
        <v>3238487.2222222225</v>
      </c>
      <c r="U28" s="151">
        <f t="shared" si="4"/>
        <v>1198967.6190476192</v>
      </c>
      <c r="V28" s="151">
        <f t="shared" si="5"/>
        <v>2188585.7142857141</v>
      </c>
      <c r="W28" s="151">
        <f t="shared" si="6"/>
        <v>3423073.8888888885</v>
      </c>
      <c r="X28" s="151">
        <f t="shared" si="7"/>
        <v>4650176.666666666</v>
      </c>
      <c r="Y28" s="151">
        <f t="shared" si="8"/>
        <v>2952781.1111111115</v>
      </c>
      <c r="Z28" s="151">
        <f t="shared" si="9"/>
        <v>3094754.444444445</v>
      </c>
      <c r="AA28" s="151">
        <f t="shared" si="10"/>
        <v>2463644.4444444445</v>
      </c>
      <c r="AB28" s="151">
        <f t="shared" si="11"/>
        <v>1775234.7222222222</v>
      </c>
      <c r="AC28" s="151">
        <f t="shared" si="12"/>
        <v>1261588.3333333333</v>
      </c>
      <c r="AD28" s="151">
        <f t="shared" si="13"/>
        <v>3284991.1111111115</v>
      </c>
      <c r="AE28" s="151">
        <f t="shared" si="14"/>
        <v>3388931.2698412696</v>
      </c>
      <c r="AF28" s="151">
        <f t="shared" si="15"/>
        <v>2691880</v>
      </c>
      <c r="AG28" s="151">
        <f t="shared" si="16"/>
        <v>3879052.777777778</v>
      </c>
    </row>
    <row r="29" spans="1:33" ht="21" x14ac:dyDescent="0.25">
      <c r="A29" s="166">
        <v>43214</v>
      </c>
      <c r="B29" s="168">
        <f>SUMIFS('Larvae Collection'!$R:$R, 'Larvae Collection'!$A:$A,'SPAWNING PLOTS-raw'!$A29, 'Larvae Collection'!$D:$D, 'SPAWNING PLOTS-raw'!B$3)</f>
        <v>0</v>
      </c>
      <c r="C29" s="167">
        <f>SUMIFS('Larvae Collection'!$R:$R, 'Larvae Collection'!$A:$A,'SPAWNING PLOTS-raw'!$A29, 'Larvae Collection'!$D:$D, 'SPAWNING PLOTS-raw'!C$3)</f>
        <v>0</v>
      </c>
      <c r="D29" s="167">
        <f>SUMIFS('Larvae Collection'!$R:$R, 'Larvae Collection'!$A:$A,'SPAWNING PLOTS-raw'!$A29, 'Larvae Collection'!$D:$D, 'SPAWNING PLOTS-raw'!D$3)</f>
        <v>0</v>
      </c>
      <c r="E29" s="167">
        <f>SUMIFS('Larvae Collection'!$R:$R, 'Larvae Collection'!$A:$A,'SPAWNING PLOTS-raw'!$A29, 'Larvae Collection'!$D:$D, 'SPAWNING PLOTS-raw'!E$3)</f>
        <v>0</v>
      </c>
      <c r="F29" s="167">
        <f>SUMIFS('Larvae Collection'!$R:$R, 'Larvae Collection'!$A:$A,'SPAWNING PLOTS-raw'!$A29, 'Larvae Collection'!$D:$D, 'SPAWNING PLOTS-raw'!F$3)</f>
        <v>305433.33333333337</v>
      </c>
      <c r="G29" s="167">
        <f>SUMIFS('Larvae Collection'!$R:$R, 'Larvae Collection'!$A:$A,'SPAWNING PLOTS-raw'!$A29, 'Larvae Collection'!$D:$D, 'SPAWNING PLOTS-raw'!G$3)</f>
        <v>0</v>
      </c>
      <c r="H29" s="168">
        <f>SUMIFS('Larvae Collection'!$R:$R, 'Larvae Collection'!$A:$A,'SPAWNING PLOTS-raw'!$A29, 'Larvae Collection'!$D:$D, 'SPAWNING PLOTS-raw'!H$3)</f>
        <v>0</v>
      </c>
      <c r="I29" s="167">
        <f>SUMIFS('Larvae Collection'!$R:$R, 'Larvae Collection'!$A:$A,'SPAWNING PLOTS-raw'!$A29, 'Larvae Collection'!$D:$D, 'SPAWNING PLOTS-raw'!I$3)</f>
        <v>0</v>
      </c>
      <c r="J29" s="167">
        <f>SUMIFS('Larvae Collection'!$R:$R, 'Larvae Collection'!$A:$A,'SPAWNING PLOTS-raw'!$A29, 'Larvae Collection'!$D:$D, 'SPAWNING PLOTS-raw'!J$3)</f>
        <v>0</v>
      </c>
      <c r="K29" s="167">
        <f>SUMIFS('Larvae Collection'!$R:$R, 'Larvae Collection'!$A:$A,'SPAWNING PLOTS-raw'!$A29, 'Larvae Collection'!$D:$D, 'SPAWNING PLOTS-raw'!K$3)</f>
        <v>0</v>
      </c>
      <c r="L29" s="167">
        <f>SUMIFS('Larvae Collection'!$R:$R, 'Larvae Collection'!$A:$A,'SPAWNING PLOTS-raw'!$A29, 'Larvae Collection'!$D:$D, 'SPAWNING PLOTS-raw'!L$3)</f>
        <v>0</v>
      </c>
      <c r="M29" s="167">
        <f>SUMIFS('Larvae Collection'!$R:$R, 'Larvae Collection'!$A:$A,'SPAWNING PLOTS-raw'!$A29, 'Larvae Collection'!$D:$D, 'SPAWNING PLOTS-raw'!M$3)</f>
        <v>0</v>
      </c>
      <c r="N29" s="167">
        <f>SUMIFS('Larvae Collection'!$R:$R, 'Larvae Collection'!$A:$A,'SPAWNING PLOTS-raw'!$A29, 'Larvae Collection'!$D:$D, 'SPAWNING PLOTS-raw'!N$3)</f>
        <v>0</v>
      </c>
      <c r="O29" s="167">
        <f>SUMIFS('Larvae Collection'!$R:$R, 'Larvae Collection'!$A:$A,'SPAWNING PLOTS-raw'!$A29, 'Larvae Collection'!$D:$D, 'SPAWNING PLOTS-raw'!O$3)</f>
        <v>0</v>
      </c>
      <c r="P29" s="167">
        <f>SUMIFS('Larvae Collection'!$R:$R, 'Larvae Collection'!$A:$A,'SPAWNING PLOTS-raw'!$A29, 'Larvae Collection'!$D:$D, 'SPAWNING PLOTS-raw'!P$3)</f>
        <v>0</v>
      </c>
      <c r="Q29" s="167">
        <f>SUMIFS('Larvae Collection'!$R:$R, 'Larvae Collection'!$A:$A,'SPAWNING PLOTS-raw'!$A29, 'Larvae Collection'!$D:$D, 'SPAWNING PLOTS-raw'!Q$3)</f>
        <v>0</v>
      </c>
      <c r="R29" s="151">
        <f t="shared" si="17"/>
        <v>5728939.6031746035</v>
      </c>
      <c r="S29" s="151">
        <f t="shared" si="2"/>
        <v>3136526.666666667</v>
      </c>
      <c r="T29" s="151">
        <f t="shared" si="3"/>
        <v>3238487.2222222225</v>
      </c>
      <c r="U29" s="151">
        <f t="shared" si="4"/>
        <v>1198967.6190476192</v>
      </c>
      <c r="V29" s="151">
        <f t="shared" si="5"/>
        <v>2494019.0476190476</v>
      </c>
      <c r="W29" s="151">
        <f t="shared" si="6"/>
        <v>3423073.8888888885</v>
      </c>
      <c r="X29" s="151">
        <f t="shared" si="7"/>
        <v>4650176.666666666</v>
      </c>
      <c r="Y29" s="151">
        <f t="shared" si="8"/>
        <v>2952781.1111111115</v>
      </c>
      <c r="Z29" s="151">
        <f t="shared" si="9"/>
        <v>3094754.444444445</v>
      </c>
      <c r="AA29" s="151">
        <f t="shared" si="10"/>
        <v>2463644.4444444445</v>
      </c>
      <c r="AB29" s="151">
        <f t="shared" si="11"/>
        <v>1775234.7222222222</v>
      </c>
      <c r="AC29" s="151">
        <f t="shared" si="12"/>
        <v>1261588.3333333333</v>
      </c>
      <c r="AD29" s="151">
        <f t="shared" si="13"/>
        <v>3284991.1111111115</v>
      </c>
      <c r="AE29" s="151">
        <f t="shared" si="14"/>
        <v>3388931.2698412696</v>
      </c>
      <c r="AF29" s="151">
        <f t="shared" si="15"/>
        <v>2691880</v>
      </c>
      <c r="AG29" s="151">
        <f t="shared" si="16"/>
        <v>3879052.777777778</v>
      </c>
    </row>
    <row r="30" spans="1:33" ht="21" x14ac:dyDescent="0.25">
      <c r="A30" s="166">
        <v>43215</v>
      </c>
      <c r="B30" s="167">
        <f>SUMIFS('Larvae Collection'!$R:$R, 'Larvae Collection'!$A:$A,'SPAWNING PLOTS-raw'!$A30, 'Larvae Collection'!$D:$D, 'SPAWNING PLOTS-raw'!B$3)</f>
        <v>283888.88888888893</v>
      </c>
      <c r="C30" s="167">
        <f>SUMIFS('Larvae Collection'!$R:$R, 'Larvae Collection'!$A:$A,'SPAWNING PLOTS-raw'!$A30, 'Larvae Collection'!$D:$D, 'SPAWNING PLOTS-raw'!C$3)</f>
        <v>0</v>
      </c>
      <c r="D30" s="167">
        <f>SUMIFS('Larvae Collection'!$R:$R, 'Larvae Collection'!$A:$A,'SPAWNING PLOTS-raw'!$A30, 'Larvae Collection'!$D:$D, 'SPAWNING PLOTS-raw'!D$3)</f>
        <v>473666.66666666669</v>
      </c>
      <c r="E30" s="167">
        <f>SUMIFS('Larvae Collection'!$R:$R, 'Larvae Collection'!$A:$A,'SPAWNING PLOTS-raw'!$A30, 'Larvae Collection'!$D:$D, 'SPAWNING PLOTS-raw'!E$3)</f>
        <v>0</v>
      </c>
      <c r="F30" s="167">
        <f>SUMIFS('Larvae Collection'!$R:$R, 'Larvae Collection'!$A:$A,'SPAWNING PLOTS-raw'!$A30, 'Larvae Collection'!$D:$D, 'SPAWNING PLOTS-raw'!F$3)</f>
        <v>914933.33333333326</v>
      </c>
      <c r="G30" s="167">
        <f>SUMIFS('Larvae Collection'!$R:$R, 'Larvae Collection'!$A:$A,'SPAWNING PLOTS-raw'!$A30, 'Larvae Collection'!$D:$D, 'SPAWNING PLOTS-raw'!G$3)</f>
        <v>0</v>
      </c>
      <c r="H30" s="167">
        <f>SUMIFS('Larvae Collection'!$R:$R, 'Larvae Collection'!$A:$A,'SPAWNING PLOTS-raw'!$A30, 'Larvae Collection'!$D:$D, 'SPAWNING PLOTS-raw'!H$3)</f>
        <v>231833.33333333334</v>
      </c>
      <c r="I30" s="167">
        <f>SUMIFS('Larvae Collection'!$R:$R, 'Larvae Collection'!$A:$A,'SPAWNING PLOTS-raw'!$A30, 'Larvae Collection'!$D:$D, 'SPAWNING PLOTS-raw'!I$3)</f>
        <v>0</v>
      </c>
      <c r="J30" s="167">
        <f>SUMIFS('Larvae Collection'!$R:$R, 'Larvae Collection'!$A:$A,'SPAWNING PLOTS-raw'!$A30, 'Larvae Collection'!$D:$D, 'SPAWNING PLOTS-raw'!J$3)</f>
        <v>0</v>
      </c>
      <c r="K30" s="167">
        <f>SUMIFS('Larvae Collection'!$R:$R, 'Larvae Collection'!$A:$A,'SPAWNING PLOTS-raw'!$A30, 'Larvae Collection'!$D:$D, 'SPAWNING PLOTS-raw'!K$3)</f>
        <v>0</v>
      </c>
      <c r="L30" s="167">
        <f>SUMIFS('Larvae Collection'!$R:$R, 'Larvae Collection'!$A:$A,'SPAWNING PLOTS-raw'!$A30, 'Larvae Collection'!$D:$D, 'SPAWNING PLOTS-raw'!L$3)</f>
        <v>0</v>
      </c>
      <c r="M30" s="167">
        <f>SUMIFS('Larvae Collection'!$R:$R, 'Larvae Collection'!$A:$A,'SPAWNING PLOTS-raw'!$A30, 'Larvae Collection'!$D:$D, 'SPAWNING PLOTS-raw'!M$3)</f>
        <v>498400.00000000006</v>
      </c>
      <c r="N30" s="167">
        <f>SUMIFS('Larvae Collection'!$R:$R, 'Larvae Collection'!$A:$A,'SPAWNING PLOTS-raw'!$A30, 'Larvae Collection'!$D:$D, 'SPAWNING PLOTS-raw'!N$3)</f>
        <v>245972.22222222225</v>
      </c>
      <c r="O30" s="167">
        <f>SUMIFS('Larvae Collection'!$R:$R, 'Larvae Collection'!$A:$A,'SPAWNING PLOTS-raw'!$A30, 'Larvae Collection'!$D:$D, 'SPAWNING PLOTS-raw'!O$3)</f>
        <v>0</v>
      </c>
      <c r="P30" s="167">
        <f>SUMIFS('Larvae Collection'!$R:$R, 'Larvae Collection'!$A:$A,'SPAWNING PLOTS-raw'!$A30, 'Larvae Collection'!$D:$D, 'SPAWNING PLOTS-raw'!P$3)</f>
        <v>0</v>
      </c>
      <c r="Q30" s="167">
        <f>SUMIFS('Larvae Collection'!$R:$R, 'Larvae Collection'!$A:$A,'SPAWNING PLOTS-raw'!$A30, 'Larvae Collection'!$D:$D, 'SPAWNING PLOTS-raw'!Q$3)</f>
        <v>0</v>
      </c>
      <c r="R30" s="151">
        <f t="shared" si="17"/>
        <v>6012828.4920634925</v>
      </c>
      <c r="S30" s="151">
        <f t="shared" si="2"/>
        <v>3136526.666666667</v>
      </c>
      <c r="T30" s="151">
        <f t="shared" si="3"/>
        <v>3712153.888888889</v>
      </c>
      <c r="U30" s="151">
        <f t="shared" si="4"/>
        <v>1198967.6190476192</v>
      </c>
      <c r="V30" s="151">
        <f t="shared" si="5"/>
        <v>3408952.3809523806</v>
      </c>
      <c r="W30" s="151">
        <f t="shared" si="6"/>
        <v>3423073.8888888885</v>
      </c>
      <c r="X30" s="151">
        <f t="shared" si="7"/>
        <v>4882009.9999999991</v>
      </c>
      <c r="Y30" s="151">
        <f t="shared" si="8"/>
        <v>2952781.1111111115</v>
      </c>
      <c r="Z30" s="151">
        <f t="shared" si="9"/>
        <v>3094754.444444445</v>
      </c>
      <c r="AA30" s="151">
        <f t="shared" si="10"/>
        <v>2463644.4444444445</v>
      </c>
      <c r="AB30" s="151">
        <f t="shared" si="11"/>
        <v>1775234.7222222222</v>
      </c>
      <c r="AC30" s="151">
        <f t="shared" si="12"/>
        <v>1759988.3333333333</v>
      </c>
      <c r="AD30" s="151">
        <f t="shared" si="13"/>
        <v>3530963.333333334</v>
      </c>
      <c r="AE30" s="151">
        <f t="shared" si="14"/>
        <v>3388931.2698412696</v>
      </c>
      <c r="AF30" s="151">
        <f t="shared" si="15"/>
        <v>2691880</v>
      </c>
      <c r="AG30" s="151">
        <f t="shared" si="16"/>
        <v>3879052.777777778</v>
      </c>
    </row>
    <row r="31" spans="1:33" ht="21" x14ac:dyDescent="0.25">
      <c r="A31" s="166">
        <v>43216</v>
      </c>
      <c r="B31" s="167">
        <f>SUMIFS('Larvae Collection'!$R:$R, 'Larvae Collection'!$A:$A,'SPAWNING PLOTS-raw'!$A31, 'Larvae Collection'!$D:$D, 'SPAWNING PLOTS-raw'!B$3)</f>
        <v>0</v>
      </c>
      <c r="C31" s="167">
        <f>SUMIFS('Larvae Collection'!$R:$R, 'Larvae Collection'!$A:$A,'SPAWNING PLOTS-raw'!$A31, 'Larvae Collection'!$D:$D, 'SPAWNING PLOTS-raw'!C$3)</f>
        <v>0</v>
      </c>
      <c r="D31" s="167">
        <f>SUMIFS('Larvae Collection'!$R:$R, 'Larvae Collection'!$A:$A,'SPAWNING PLOTS-raw'!$A31, 'Larvae Collection'!$D:$D, 'SPAWNING PLOTS-raw'!D$3)</f>
        <v>0</v>
      </c>
      <c r="E31" s="167">
        <f>SUMIFS('Larvae Collection'!$R:$R, 'Larvae Collection'!$A:$A,'SPAWNING PLOTS-raw'!$A31, 'Larvae Collection'!$D:$D, 'SPAWNING PLOTS-raw'!E$3)</f>
        <v>0</v>
      </c>
      <c r="F31" s="167">
        <f>SUMIFS('Larvae Collection'!$R:$R, 'Larvae Collection'!$A:$A,'SPAWNING PLOTS-raw'!$A31, 'Larvae Collection'!$D:$D, 'SPAWNING PLOTS-raw'!F$3)</f>
        <v>0</v>
      </c>
      <c r="G31" s="167">
        <f>SUMIFS('Larvae Collection'!$R:$R, 'Larvae Collection'!$A:$A,'SPAWNING PLOTS-raw'!$A31, 'Larvae Collection'!$D:$D, 'SPAWNING PLOTS-raw'!G$3)</f>
        <v>0</v>
      </c>
      <c r="H31" s="167">
        <f>SUMIFS('Larvae Collection'!$R:$R, 'Larvae Collection'!$A:$A,'SPAWNING PLOTS-raw'!$A31, 'Larvae Collection'!$D:$D, 'SPAWNING PLOTS-raw'!H$3)</f>
        <v>0</v>
      </c>
      <c r="I31" s="167">
        <f>SUMIFS('Larvae Collection'!$R:$R, 'Larvae Collection'!$A:$A,'SPAWNING PLOTS-raw'!$A31, 'Larvae Collection'!$D:$D, 'SPAWNING PLOTS-raw'!I$3)</f>
        <v>0</v>
      </c>
      <c r="J31" s="167">
        <f>SUMIFS('Larvae Collection'!$R:$R, 'Larvae Collection'!$A:$A,'SPAWNING PLOTS-raw'!$A31, 'Larvae Collection'!$D:$D, 'SPAWNING PLOTS-raw'!J$3)</f>
        <v>0</v>
      </c>
      <c r="K31" s="167">
        <f>SUMIFS('Larvae Collection'!$R:$R, 'Larvae Collection'!$A:$A,'SPAWNING PLOTS-raw'!$A31, 'Larvae Collection'!$D:$D, 'SPAWNING PLOTS-raw'!K$3)</f>
        <v>0</v>
      </c>
      <c r="L31" s="167">
        <f>SUMIFS('Larvae Collection'!$R:$R, 'Larvae Collection'!$A:$A,'SPAWNING PLOTS-raw'!$A31, 'Larvae Collection'!$D:$D, 'SPAWNING PLOTS-raw'!L$3)</f>
        <v>0</v>
      </c>
      <c r="M31" s="167">
        <f>SUMIFS('Larvae Collection'!$R:$R, 'Larvae Collection'!$A:$A,'SPAWNING PLOTS-raw'!$A31, 'Larvae Collection'!$D:$D, 'SPAWNING PLOTS-raw'!M$3)</f>
        <v>0</v>
      </c>
      <c r="N31" s="167">
        <f>SUMIFS('Larvae Collection'!$R:$R, 'Larvae Collection'!$A:$A,'SPAWNING PLOTS-raw'!$A31, 'Larvae Collection'!$D:$D, 'SPAWNING PLOTS-raw'!N$3)</f>
        <v>0</v>
      </c>
      <c r="O31" s="167">
        <f>SUMIFS('Larvae Collection'!$R:$R, 'Larvae Collection'!$A:$A,'SPAWNING PLOTS-raw'!$A31, 'Larvae Collection'!$D:$D, 'SPAWNING PLOTS-raw'!O$3)</f>
        <v>0</v>
      </c>
      <c r="P31" s="167">
        <f>SUMIFS('Larvae Collection'!$R:$R, 'Larvae Collection'!$A:$A,'SPAWNING PLOTS-raw'!$A31, 'Larvae Collection'!$D:$D, 'SPAWNING PLOTS-raw'!P$3)</f>
        <v>0</v>
      </c>
      <c r="Q31" s="167">
        <f>SUMIFS('Larvae Collection'!$R:$R, 'Larvae Collection'!$A:$A,'SPAWNING PLOTS-raw'!$A31, 'Larvae Collection'!$D:$D, 'SPAWNING PLOTS-raw'!Q$3)</f>
        <v>0</v>
      </c>
      <c r="R31" s="151">
        <f t="shared" si="17"/>
        <v>6012828.4920634925</v>
      </c>
      <c r="S31" s="151">
        <f t="shared" si="2"/>
        <v>3136526.666666667</v>
      </c>
      <c r="T31" s="151">
        <f t="shared" si="3"/>
        <v>3712153.888888889</v>
      </c>
      <c r="U31" s="151">
        <f t="shared" si="4"/>
        <v>1198967.6190476192</v>
      </c>
      <c r="V31" s="151">
        <f t="shared" si="5"/>
        <v>3408952.3809523806</v>
      </c>
      <c r="W31" s="151">
        <f t="shared" si="6"/>
        <v>3423073.8888888885</v>
      </c>
      <c r="X31" s="151">
        <f t="shared" si="7"/>
        <v>4882009.9999999991</v>
      </c>
      <c r="Y31" s="151">
        <f t="shared" si="8"/>
        <v>2952781.1111111115</v>
      </c>
      <c r="Z31" s="151">
        <f t="shared" si="9"/>
        <v>3094754.444444445</v>
      </c>
      <c r="AA31" s="151">
        <f t="shared" si="10"/>
        <v>2463644.4444444445</v>
      </c>
      <c r="AB31" s="151">
        <f t="shared" si="11"/>
        <v>1775234.7222222222</v>
      </c>
      <c r="AC31" s="151">
        <f t="shared" si="12"/>
        <v>1759988.3333333333</v>
      </c>
      <c r="AD31" s="151">
        <f t="shared" si="13"/>
        <v>3530963.333333334</v>
      </c>
      <c r="AE31" s="151">
        <f t="shared" si="14"/>
        <v>3388931.2698412696</v>
      </c>
      <c r="AF31" s="151">
        <f t="shared" si="15"/>
        <v>2691880</v>
      </c>
      <c r="AG31" s="151">
        <f t="shared" si="16"/>
        <v>3879052.777777778</v>
      </c>
    </row>
    <row r="32" spans="1:33" ht="21" x14ac:dyDescent="0.25">
      <c r="A32" s="166">
        <v>43217</v>
      </c>
      <c r="B32" s="167">
        <f>SUMIFS('Larvae Collection'!$R:$R, 'Larvae Collection'!$A:$A,'SPAWNING PLOTS-raw'!$A32, 'Larvae Collection'!$D:$D, 'SPAWNING PLOTS-raw'!B$3)</f>
        <v>0</v>
      </c>
      <c r="C32" s="167">
        <f>SUMIFS('Larvae Collection'!$R:$R, 'Larvae Collection'!$A:$A,'SPAWNING PLOTS-raw'!$A32, 'Larvae Collection'!$D:$D, 'SPAWNING PLOTS-raw'!C$3)</f>
        <v>0</v>
      </c>
      <c r="D32" s="167">
        <f>SUMIFS('Larvae Collection'!$R:$R, 'Larvae Collection'!$A:$A,'SPAWNING PLOTS-raw'!$A32, 'Larvae Collection'!$D:$D, 'SPAWNING PLOTS-raw'!D$3)</f>
        <v>0</v>
      </c>
      <c r="E32" s="167">
        <f>SUMIFS('Larvae Collection'!$R:$R, 'Larvae Collection'!$A:$A,'SPAWNING PLOTS-raw'!$A32, 'Larvae Collection'!$D:$D, 'SPAWNING PLOTS-raw'!E$3)</f>
        <v>0</v>
      </c>
      <c r="F32" s="167">
        <f>SUMIFS('Larvae Collection'!$R:$R, 'Larvae Collection'!$A:$A,'SPAWNING PLOTS-raw'!$A32, 'Larvae Collection'!$D:$D, 'SPAWNING PLOTS-raw'!F$3)</f>
        <v>286000</v>
      </c>
      <c r="G32" s="167">
        <f>SUMIFS('Larvae Collection'!$R:$R, 'Larvae Collection'!$A:$A,'SPAWNING PLOTS-raw'!$A32, 'Larvae Collection'!$D:$D, 'SPAWNING PLOTS-raw'!G$3)</f>
        <v>0</v>
      </c>
      <c r="H32" s="167">
        <f>SUMIFS('Larvae Collection'!$R:$R, 'Larvae Collection'!$A:$A,'SPAWNING PLOTS-raw'!$A32, 'Larvae Collection'!$D:$D, 'SPAWNING PLOTS-raw'!H$3)</f>
        <v>0</v>
      </c>
      <c r="I32" s="167">
        <f>SUMIFS('Larvae Collection'!$R:$R, 'Larvae Collection'!$A:$A,'SPAWNING PLOTS-raw'!$A32, 'Larvae Collection'!$D:$D, 'SPAWNING PLOTS-raw'!I$3)</f>
        <v>0</v>
      </c>
      <c r="J32" s="167">
        <f>SUMIFS('Larvae Collection'!$R:$R, 'Larvae Collection'!$A:$A,'SPAWNING PLOTS-raw'!$A32, 'Larvae Collection'!$D:$D, 'SPAWNING PLOTS-raw'!J$3)</f>
        <v>0</v>
      </c>
      <c r="K32" s="167">
        <f>SUMIFS('Larvae Collection'!$R:$R, 'Larvae Collection'!$A:$A,'SPAWNING PLOTS-raw'!$A32, 'Larvae Collection'!$D:$D, 'SPAWNING PLOTS-raw'!K$3)</f>
        <v>0</v>
      </c>
      <c r="L32" s="167">
        <f>SUMIFS('Larvae Collection'!$R:$R, 'Larvae Collection'!$A:$A,'SPAWNING PLOTS-raw'!$A32, 'Larvae Collection'!$D:$D, 'SPAWNING PLOTS-raw'!L$3)</f>
        <v>0</v>
      </c>
      <c r="M32" s="167">
        <f>SUMIFS('Larvae Collection'!$R:$R, 'Larvae Collection'!$A:$A,'SPAWNING PLOTS-raw'!$A32, 'Larvae Collection'!$D:$D, 'SPAWNING PLOTS-raw'!M$3)</f>
        <v>0</v>
      </c>
      <c r="N32" s="167">
        <f>SUMIFS('Larvae Collection'!$R:$R, 'Larvae Collection'!$A:$A,'SPAWNING PLOTS-raw'!$A32, 'Larvae Collection'!$D:$D, 'SPAWNING PLOTS-raw'!N$3)</f>
        <v>0</v>
      </c>
      <c r="O32" s="167">
        <f>SUMIFS('Larvae Collection'!$R:$R, 'Larvae Collection'!$A:$A,'SPAWNING PLOTS-raw'!$A32, 'Larvae Collection'!$D:$D, 'SPAWNING PLOTS-raw'!O$3)</f>
        <v>0</v>
      </c>
      <c r="P32" s="167">
        <f>SUMIFS('Larvae Collection'!$R:$R, 'Larvae Collection'!$A:$A,'SPAWNING PLOTS-raw'!$A32, 'Larvae Collection'!$D:$D, 'SPAWNING PLOTS-raw'!P$3)</f>
        <v>0</v>
      </c>
      <c r="Q32" s="167">
        <f>SUMIFS('Larvae Collection'!$R:$R, 'Larvae Collection'!$A:$A,'SPAWNING PLOTS-raw'!$A32, 'Larvae Collection'!$D:$D, 'SPAWNING PLOTS-raw'!Q$3)</f>
        <v>0</v>
      </c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ht="21" x14ac:dyDescent="0.25">
      <c r="A33" s="169" t="s">
        <v>200</v>
      </c>
      <c r="B33" s="170">
        <f>SUM(B4:B31)</f>
        <v>6012828.4920634925</v>
      </c>
      <c r="C33" s="170">
        <f t="shared" ref="C33:Q33" si="18">SUM(C4:C31)</f>
        <v>3136526.666666667</v>
      </c>
      <c r="D33" s="170">
        <f t="shared" si="18"/>
        <v>3712153.888888889</v>
      </c>
      <c r="E33" s="170">
        <f t="shared" si="18"/>
        <v>1198967.6190476192</v>
      </c>
      <c r="F33" s="170">
        <f t="shared" si="18"/>
        <v>3408952.3809523806</v>
      </c>
      <c r="G33" s="170">
        <f t="shared" si="18"/>
        <v>3423073.8888888885</v>
      </c>
      <c r="H33" s="170">
        <f t="shared" si="18"/>
        <v>4882009.9999999991</v>
      </c>
      <c r="I33" s="170">
        <f t="shared" si="18"/>
        <v>2952781.1111111115</v>
      </c>
      <c r="J33" s="170">
        <f t="shared" si="18"/>
        <v>3094754.444444445</v>
      </c>
      <c r="K33" s="170">
        <f t="shared" si="18"/>
        <v>2463644.4444444445</v>
      </c>
      <c r="L33" s="170">
        <f t="shared" si="18"/>
        <v>1775234.7222222222</v>
      </c>
      <c r="M33" s="170">
        <f t="shared" si="18"/>
        <v>1759988.3333333333</v>
      </c>
      <c r="N33" s="170">
        <f t="shared" si="18"/>
        <v>3530963.333333334</v>
      </c>
      <c r="O33" s="170">
        <f t="shared" si="18"/>
        <v>3388931.2698412696</v>
      </c>
      <c r="P33" s="170">
        <f t="shared" si="18"/>
        <v>2691880</v>
      </c>
      <c r="Q33" s="170">
        <f t="shared" si="18"/>
        <v>3879052.777777778</v>
      </c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x14ac:dyDescent="0.2">
      <c r="A34" s="152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</row>
    <row r="35" spans="1:33" x14ac:dyDescent="0.2">
      <c r="A35" s="152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6" x14ac:dyDescent="0.2"/>
  <cols>
    <col min="1" max="1" width="24.83203125" style="138" customWidth="1"/>
    <col min="2" max="2" width="15.33203125" style="138" bestFit="1" customWidth="1"/>
    <col min="3" max="3" width="10.6640625" style="138" customWidth="1"/>
    <col min="4" max="4" width="14.33203125" style="138" bestFit="1" customWidth="1"/>
    <col min="5" max="5" width="9.6640625" style="138" customWidth="1"/>
    <col min="6" max="6" width="11.83203125" style="138" customWidth="1"/>
    <col min="7" max="7" width="13.1640625" style="138" customWidth="1"/>
    <col min="8" max="8" width="10.83203125" style="138" customWidth="1"/>
    <col min="9" max="9" width="13.83203125" style="138" customWidth="1"/>
    <col min="10" max="10" width="11.5" style="138" bestFit="1" customWidth="1"/>
    <col min="11" max="11" width="15" style="138" customWidth="1"/>
    <col min="12" max="12" width="11.5" style="138" bestFit="1" customWidth="1"/>
    <col min="13" max="13" width="10.83203125" style="138" customWidth="1"/>
    <col min="14" max="14" width="11.5" style="138" bestFit="1" customWidth="1"/>
    <col min="15" max="15" width="12" style="138" customWidth="1"/>
    <col min="16" max="16" width="15.33203125" style="138" bestFit="1" customWidth="1"/>
    <col min="17" max="17" width="15.16406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B1" s="218" t="s">
        <v>196</v>
      </c>
      <c r="C1" s="218"/>
      <c r="D1" s="218"/>
      <c r="E1" s="218"/>
      <c r="F1" s="218" t="s">
        <v>197</v>
      </c>
      <c r="G1" s="218"/>
      <c r="H1" s="218"/>
      <c r="I1" s="218"/>
      <c r="J1" s="218" t="s">
        <v>198</v>
      </c>
      <c r="K1" s="218"/>
      <c r="L1" s="218"/>
      <c r="M1" s="218"/>
      <c r="N1" s="218" t="s">
        <v>199</v>
      </c>
      <c r="O1" s="218"/>
      <c r="P1" s="218"/>
      <c r="Q1" s="218"/>
      <c r="R1" s="218" t="s">
        <v>196</v>
      </c>
      <c r="S1" s="218"/>
      <c r="T1" s="218"/>
      <c r="U1" s="218"/>
      <c r="V1" s="218" t="s">
        <v>197</v>
      </c>
      <c r="W1" s="218"/>
      <c r="X1" s="218"/>
      <c r="Y1" s="218"/>
      <c r="Z1" s="218" t="s">
        <v>198</v>
      </c>
      <c r="AA1" s="218"/>
      <c r="AB1" s="218"/>
      <c r="AC1" s="218"/>
      <c r="AD1" s="218" t="s">
        <v>199</v>
      </c>
      <c r="AE1" s="218"/>
      <c r="AF1" s="218"/>
      <c r="AG1" s="218"/>
    </row>
    <row r="2" spans="1:33" ht="27" customHeight="1" x14ac:dyDescent="0.25">
      <c r="A2" s="138" t="s">
        <v>194</v>
      </c>
      <c r="B2" s="218" t="s">
        <v>37</v>
      </c>
      <c r="C2" s="218"/>
      <c r="D2" s="218" t="s">
        <v>28</v>
      </c>
      <c r="E2" s="218"/>
      <c r="F2" s="218" t="s">
        <v>29</v>
      </c>
      <c r="G2" s="218"/>
      <c r="H2" s="218" t="s">
        <v>36</v>
      </c>
      <c r="I2" s="218"/>
      <c r="J2" s="218" t="s">
        <v>82</v>
      </c>
      <c r="K2" s="218"/>
      <c r="L2" s="218" t="s">
        <v>83</v>
      </c>
      <c r="M2" s="218"/>
      <c r="N2" s="218" t="s">
        <v>60</v>
      </c>
      <c r="O2" s="218"/>
      <c r="P2" s="218" t="s">
        <v>58</v>
      </c>
      <c r="Q2" s="218"/>
      <c r="R2" s="218" t="s">
        <v>37</v>
      </c>
      <c r="S2" s="218"/>
      <c r="T2" s="218" t="s">
        <v>28</v>
      </c>
      <c r="U2" s="218"/>
      <c r="V2" s="218" t="s">
        <v>29</v>
      </c>
      <c r="W2" s="218"/>
      <c r="X2" s="218" t="s">
        <v>36</v>
      </c>
      <c r="Y2" s="218"/>
      <c r="Z2" s="218" t="s">
        <v>82</v>
      </c>
      <c r="AA2" s="218"/>
      <c r="AB2" s="218" t="s">
        <v>83</v>
      </c>
      <c r="AC2" s="218"/>
      <c r="AD2" s="218" t="s">
        <v>60</v>
      </c>
      <c r="AE2" s="218"/>
      <c r="AF2" s="218" t="s">
        <v>58</v>
      </c>
      <c r="AG2" s="218"/>
    </row>
    <row r="3" spans="1:33" s="99" customFormat="1" ht="23" customHeight="1" x14ac:dyDescent="0.25">
      <c r="A3" s="99" t="s">
        <v>195</v>
      </c>
      <c r="B3" s="156" t="s">
        <v>39</v>
      </c>
      <c r="C3" s="157" t="s">
        <v>67</v>
      </c>
      <c r="D3" s="158" t="s">
        <v>68</v>
      </c>
      <c r="E3" s="158" t="s">
        <v>77</v>
      </c>
      <c r="F3" s="158" t="s">
        <v>61</v>
      </c>
      <c r="G3" s="158" t="s">
        <v>119</v>
      </c>
      <c r="H3" s="158" t="s">
        <v>38</v>
      </c>
      <c r="I3" s="158" t="s">
        <v>42</v>
      </c>
      <c r="J3" s="158" t="s">
        <v>113</v>
      </c>
      <c r="K3" s="158" t="s">
        <v>94</v>
      </c>
      <c r="L3" s="158" t="s">
        <v>95</v>
      </c>
      <c r="M3" s="158" t="s">
        <v>96</v>
      </c>
      <c r="N3" s="158" t="s">
        <v>65</v>
      </c>
      <c r="O3" s="158" t="s">
        <v>66</v>
      </c>
      <c r="P3" s="158" t="s">
        <v>69</v>
      </c>
      <c r="Q3" s="15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47" customHeight="1" x14ac:dyDescent="0.25">
      <c r="A4" s="150">
        <v>43189</v>
      </c>
      <c r="B4" s="153">
        <f>(SUMIFS('Larvae Collection'!$R:$R, 'Larvae Collection'!$A:$A,'SPAWNING PLOTS-normalized'!$A4, 'Larvae Collection'!$D:$D, 'SPAWNING PLOTS-normalized'!B$3))/SUMMARIES!$M$2</f>
        <v>418</v>
      </c>
      <c r="C4" s="153">
        <f>(SUMIFS('Larvae Collection'!$R:$R, 'Larvae Collection'!$A:$A,'SPAWNING PLOTS-normalized'!$A4, 'Larvae Collection'!$D:$D, 'SPAWNING PLOTS-normalized'!C$3))/SUMMARIES!$M$3</f>
        <v>0</v>
      </c>
      <c r="D4" s="153">
        <f>(SUMIFS('Larvae Collection'!$R:$R, 'Larvae Collection'!$A:$A,'SPAWNING PLOTS-normalized'!$A4, 'Larvae Collection'!$D:$D, 'SPAWNING PLOTS-normalized'!D$3))/SUMMARIES!$M$4</f>
        <v>1186.4144144144145</v>
      </c>
      <c r="E4" s="153">
        <f>(SUMIFS('Larvae Collection'!$R:$R, 'Larvae Collection'!$A:$A,'SPAWNING PLOTS-normalized'!$A4, 'Larvae Collection'!$D:$D, 'SPAWNING PLOTS-normalized'!E$3))/SUMMARIES!$M$5</f>
        <v>732.35294117647061</v>
      </c>
      <c r="F4" s="153">
        <f>(SUMIFS('Larvae Collection'!$R:$R, 'Larvae Collection'!$A:$A,'SPAWNING PLOTS-normalized'!$A4, 'Larvae Collection'!$D:$D, 'SPAWNING PLOTS-normalized'!F$3))/SUMMARIES!$M$6</f>
        <v>0</v>
      </c>
      <c r="G4" s="153">
        <f>(SUMIFS('Larvae Collection'!$R:$R, 'Larvae Collection'!$A:$A,'SPAWNING PLOTS-normalized'!$A4, 'Larvae Collection'!$D:$D, 'SPAWNING PLOTS-normalized'!G$3))/SUMMARIES!$M$7</f>
        <v>360.14814814814815</v>
      </c>
      <c r="H4" s="153">
        <f>(SUMIFS('Larvae Collection'!$R:$R, 'Larvae Collection'!$A:$A,'SPAWNING PLOTS-normalized'!$A4, 'Larvae Collection'!$D:$D, 'SPAWNING PLOTS-normalized'!H$3))/SUMMARIES!$M$8</f>
        <v>4617.2991452991446</v>
      </c>
      <c r="I4" s="153">
        <f>(SUMIFS('Larvae Collection'!$R:$R, 'Larvae Collection'!$A:$A,'SPAWNING PLOTS-normalized'!$A4, 'Larvae Collection'!$D:$D, 'SPAWNING PLOTS-normalized'!I$3))/SUMMARIES!$M$9</f>
        <v>1066.6666666666667</v>
      </c>
      <c r="J4" s="153">
        <f>(SUMIFS('Larvae Collection'!$R:$R, 'Larvae Collection'!$A:$A,'SPAWNING PLOTS-normalized'!$A4, 'Larvae Collection'!$D:$D, 'SPAWNING PLOTS-normalized'!J$3))/SUMMARIES!$M$10</f>
        <v>0</v>
      </c>
      <c r="K4" s="153">
        <f>(SUMIFS('Larvae Collection'!$R:$R, 'Larvae Collection'!$A:$A,'SPAWNING PLOTS-normalized'!$A4, 'Larvae Collection'!$D:$D, 'SPAWNING PLOTS-normalized'!K$3))/SUMMARIES!$M$11</f>
        <v>0</v>
      </c>
      <c r="L4" s="153">
        <f>(SUMIFS('Larvae Collection'!$R:$R, 'Larvae Collection'!$A:$A,'SPAWNING PLOTS-normalized'!$A4, 'Larvae Collection'!$D:$D, 'SPAWNING PLOTS-normalized'!L$3))/SUMMARIES!$M$12</f>
        <v>0</v>
      </c>
      <c r="M4" s="153">
        <f>(SUMIFS('Larvae Collection'!$R:$R, 'Larvae Collection'!$A:$A,'SPAWNING PLOTS-normalized'!$A4, 'Larvae Collection'!$D:$D, 'SPAWNING PLOTS-normalized'!M$3))/SUMMARIES!$M$13</f>
        <v>0</v>
      </c>
      <c r="N4" s="153">
        <f>(SUMIFS('Larvae Collection'!$R:$R, 'Larvae Collection'!$A:$A,'SPAWNING PLOTS-normalized'!$A4, 'Larvae Collection'!$D:$D, 'SPAWNING PLOTS-normalized'!N$3))/SUMMARIES!$M$14</f>
        <v>0</v>
      </c>
      <c r="O4" s="153">
        <f>(SUMIFS('Larvae Collection'!$R:$R, 'Larvae Collection'!$A:$A,'SPAWNING PLOTS-normalized'!$A4, 'Larvae Collection'!$D:$D, 'SPAWNING PLOTS-normalized'!O$3))/SUMMARIES!$M$15</f>
        <v>0</v>
      </c>
      <c r="P4" s="153">
        <f>(SUMIFS('Larvae Collection'!$R:$R, 'Larvae Collection'!$A:$A,'SPAWNING PLOTS-normalized'!$A4, 'Larvae Collection'!$D:$D, 'SPAWNING PLOTS-normalized'!P$3))/SUMMARIES!$M$16</f>
        <v>0</v>
      </c>
      <c r="Q4" s="153">
        <f>(SUMIFS('Larvae Collection'!$R:$R, 'Larvae Collection'!$A:$A,'SPAWNING PLOTS-normalized'!$A4, 'Larvae Collection'!$D:$D, 'SPAWNING PLOTS-normalized'!Q$3))/SUMMARIES!$M$17</f>
        <v>0</v>
      </c>
      <c r="R4" s="151">
        <f t="shared" ref="R4:R20" si="0">SUMIFS(B$4:B$31, $A$4:$A$31, "&lt;="&amp;$A4)</f>
        <v>418</v>
      </c>
      <c r="S4" s="151">
        <f t="shared" ref="S4:S20" si="1">SUMIFS(C$4:C$31, $A$4:$A$31, "&lt;="&amp;$A4)</f>
        <v>0</v>
      </c>
      <c r="T4" s="151">
        <f t="shared" ref="T4:AG19" si="2">SUMIFS(D$4:D$31, $A$4:$A$31, "&lt;="&amp;$A4)</f>
        <v>1186.4144144144145</v>
      </c>
      <c r="U4" s="151">
        <f t="shared" si="2"/>
        <v>732.35294117647061</v>
      </c>
      <c r="V4" s="151">
        <f t="shared" si="2"/>
        <v>0</v>
      </c>
      <c r="W4" s="151">
        <f t="shared" si="2"/>
        <v>360.14814814814815</v>
      </c>
      <c r="X4" s="151">
        <f t="shared" si="2"/>
        <v>4617.2991452991446</v>
      </c>
      <c r="Y4" s="151">
        <f t="shared" si="2"/>
        <v>1066.6666666666667</v>
      </c>
      <c r="Z4" s="151">
        <f t="shared" si="2"/>
        <v>0</v>
      </c>
      <c r="AA4" s="151">
        <f t="shared" si="2"/>
        <v>0</v>
      </c>
      <c r="AB4" s="151">
        <f t="shared" si="2"/>
        <v>0</v>
      </c>
      <c r="AC4" s="151">
        <f t="shared" si="2"/>
        <v>0</v>
      </c>
      <c r="AD4" s="151">
        <f t="shared" si="2"/>
        <v>0</v>
      </c>
      <c r="AE4" s="151">
        <f t="shared" si="2"/>
        <v>0</v>
      </c>
      <c r="AF4" s="151">
        <f t="shared" si="2"/>
        <v>0</v>
      </c>
      <c r="AG4" s="151">
        <f t="shared" si="2"/>
        <v>0</v>
      </c>
    </row>
    <row r="5" spans="1:33" ht="19" x14ac:dyDescent="0.25">
      <c r="A5" s="150">
        <v>43190</v>
      </c>
      <c r="B5" s="153">
        <f>(SUMIFS('Larvae Collection'!$R:$R, 'Larvae Collection'!$A:$A,'SPAWNING PLOTS-normalized'!$A5, 'Larvae Collection'!$D:$D, 'SPAWNING PLOTS-normalized'!B$3))/SUMMARIES!$M$2</f>
        <v>0</v>
      </c>
      <c r="C5" s="153">
        <f>(SUMIFS('Larvae Collection'!$R:$R, 'Larvae Collection'!$A:$A,'SPAWNING PLOTS-normalized'!$A5, 'Larvae Collection'!$D:$D, 'SPAWNING PLOTS-normalized'!C$3))/SUMMARIES!$M$3</f>
        <v>0</v>
      </c>
      <c r="D5" s="153">
        <f>(SUMIFS('Larvae Collection'!$R:$R, 'Larvae Collection'!$A:$A,'SPAWNING PLOTS-normalized'!$A5, 'Larvae Collection'!$D:$D, 'SPAWNING PLOTS-normalized'!D$3))/SUMMARIES!$M$4</f>
        <v>0</v>
      </c>
      <c r="E5" s="153">
        <f>(SUMIFS('Larvae Collection'!$R:$R, 'Larvae Collection'!$A:$A,'SPAWNING PLOTS-normalized'!$A5, 'Larvae Collection'!$D:$D, 'SPAWNING PLOTS-normalized'!E$3))/SUMMARIES!$M$5</f>
        <v>0</v>
      </c>
      <c r="F5" s="153">
        <f>(SUMIFS('Larvae Collection'!$R:$R, 'Larvae Collection'!$A:$A,'SPAWNING PLOTS-normalized'!$A5, 'Larvae Collection'!$D:$D, 'SPAWNING PLOTS-normalized'!F$3))/SUMMARIES!$M$6</f>
        <v>0</v>
      </c>
      <c r="G5" s="153">
        <f>(SUMIFS('Larvae Collection'!$R:$R, 'Larvae Collection'!$A:$A,'SPAWNING PLOTS-normalized'!$A5, 'Larvae Collection'!$D:$D, 'SPAWNING PLOTS-normalized'!G$3))/SUMMARIES!$M$7</f>
        <v>4026.6666666666665</v>
      </c>
      <c r="H5" s="153">
        <f>(SUMIFS('Larvae Collection'!$R:$R, 'Larvae Collection'!$A:$A,'SPAWNING PLOTS-normalized'!$A5, 'Larvae Collection'!$D:$D, 'SPAWNING PLOTS-normalized'!H$3))/SUMMARIES!$M$8</f>
        <v>1096</v>
      </c>
      <c r="I5" s="153">
        <f>(SUMIFS('Larvae Collection'!$R:$R, 'Larvae Collection'!$A:$A,'SPAWNING PLOTS-normalized'!$A5, 'Larvae Collection'!$D:$D, 'SPAWNING PLOTS-normalized'!I$3))/SUMMARIES!$M$9</f>
        <v>916.55284552845524</v>
      </c>
      <c r="J5" s="153">
        <f>(SUMIFS('Larvae Collection'!$R:$R, 'Larvae Collection'!$A:$A,'SPAWNING PLOTS-normalized'!$A5, 'Larvae Collection'!$D:$D, 'SPAWNING PLOTS-normalized'!J$3))/SUMMARIES!$M$10</f>
        <v>0</v>
      </c>
      <c r="K5" s="153">
        <f>(SUMIFS('Larvae Collection'!$R:$R, 'Larvae Collection'!$A:$A,'SPAWNING PLOTS-normalized'!$A5, 'Larvae Collection'!$D:$D, 'SPAWNING PLOTS-normalized'!K$3))/SUMMARIES!$M$11</f>
        <v>0</v>
      </c>
      <c r="L5" s="153">
        <f>(SUMIFS('Larvae Collection'!$R:$R, 'Larvae Collection'!$A:$A,'SPAWNING PLOTS-normalized'!$A5, 'Larvae Collection'!$D:$D, 'SPAWNING PLOTS-normalized'!L$3))/SUMMARIES!$M$12</f>
        <v>0</v>
      </c>
      <c r="M5" s="153">
        <f>(SUMIFS('Larvae Collection'!$R:$R, 'Larvae Collection'!$A:$A,'SPAWNING PLOTS-normalized'!$A5, 'Larvae Collection'!$D:$D, 'SPAWNING PLOTS-normalized'!M$3))/SUMMARIES!$M$13</f>
        <v>0</v>
      </c>
      <c r="N5" s="153">
        <f>(SUMIFS('Larvae Collection'!$R:$R, 'Larvae Collection'!$A:$A,'SPAWNING PLOTS-normalized'!$A5, 'Larvae Collection'!$D:$D, 'SPAWNING PLOTS-normalized'!N$3))/SUMMARIES!$M$14</f>
        <v>0</v>
      </c>
      <c r="O5" s="153">
        <f>(SUMIFS('Larvae Collection'!$R:$R, 'Larvae Collection'!$A:$A,'SPAWNING PLOTS-normalized'!$A5, 'Larvae Collection'!$D:$D, 'SPAWNING PLOTS-normalized'!O$3))/SUMMARIES!$M$15</f>
        <v>0</v>
      </c>
      <c r="P5" s="153">
        <f>(SUMIFS('Larvae Collection'!$R:$R, 'Larvae Collection'!$A:$A,'SPAWNING PLOTS-normalized'!$A5, 'Larvae Collection'!$D:$D, 'SPAWNING PLOTS-normalized'!P$3))/SUMMARIES!$M$16</f>
        <v>0</v>
      </c>
      <c r="Q5" s="153">
        <f>(SUMIFS('Larvae Collection'!$R:$R, 'Larvae Collection'!$A:$A,'SPAWNING PLOTS-normalized'!$A5, 'Larvae Collection'!$D:$D, 'SPAWNING PLOTS-normalized'!Q$3))/SUMMARIES!$M$17</f>
        <v>0</v>
      </c>
      <c r="R5" s="151">
        <f t="shared" si="0"/>
        <v>418</v>
      </c>
      <c r="S5" s="151">
        <f t="shared" si="1"/>
        <v>0</v>
      </c>
      <c r="T5" s="151">
        <f t="shared" si="2"/>
        <v>1186.4144144144145</v>
      </c>
      <c r="U5" s="151">
        <f t="shared" si="2"/>
        <v>732.35294117647061</v>
      </c>
      <c r="V5" s="151">
        <f t="shared" si="2"/>
        <v>0</v>
      </c>
      <c r="W5" s="151">
        <f t="shared" si="2"/>
        <v>4386.8148148148148</v>
      </c>
      <c r="X5" s="151">
        <f t="shared" si="2"/>
        <v>5713.2991452991446</v>
      </c>
      <c r="Y5" s="151">
        <f t="shared" si="2"/>
        <v>1983.219512195122</v>
      </c>
      <c r="Z5" s="151">
        <f t="shared" si="2"/>
        <v>0</v>
      </c>
      <c r="AA5" s="151">
        <f t="shared" si="2"/>
        <v>0</v>
      </c>
      <c r="AB5" s="151">
        <f t="shared" si="2"/>
        <v>0</v>
      </c>
      <c r="AC5" s="151">
        <f t="shared" si="2"/>
        <v>0</v>
      </c>
      <c r="AD5" s="151">
        <f t="shared" si="2"/>
        <v>0</v>
      </c>
      <c r="AE5" s="151">
        <f t="shared" si="2"/>
        <v>0</v>
      </c>
      <c r="AF5" s="151">
        <f t="shared" si="2"/>
        <v>0</v>
      </c>
      <c r="AG5" s="151">
        <f t="shared" si="2"/>
        <v>0</v>
      </c>
    </row>
    <row r="6" spans="1:33" ht="19" x14ac:dyDescent="0.25">
      <c r="A6" s="150">
        <v>43191</v>
      </c>
      <c r="B6" s="153">
        <f>(SUMIFS('Larvae Collection'!$R:$R, 'Larvae Collection'!$A:$A,'SPAWNING PLOTS-normalized'!$A6, 'Larvae Collection'!$D:$D, 'SPAWNING PLOTS-normalized'!B$3))/SUMMARIES!$M$2</f>
        <v>0</v>
      </c>
      <c r="C6" s="153">
        <f>(SUMIFS('Larvae Collection'!$R:$R, 'Larvae Collection'!$A:$A,'SPAWNING PLOTS-normalized'!$A6, 'Larvae Collection'!$D:$D, 'SPAWNING PLOTS-normalized'!C$3))/SUMMARIES!$M$3</f>
        <v>0</v>
      </c>
      <c r="D6" s="153">
        <f>(SUMIFS('Larvae Collection'!$R:$R, 'Larvae Collection'!$A:$A,'SPAWNING PLOTS-normalized'!$A6, 'Larvae Collection'!$D:$D, 'SPAWNING PLOTS-normalized'!D$3))/SUMMARIES!$M$4</f>
        <v>59.45945945945946</v>
      </c>
      <c r="E6" s="153">
        <f>(SUMIFS('Larvae Collection'!$R:$R, 'Larvae Collection'!$A:$A,'SPAWNING PLOTS-normalized'!$A6, 'Larvae Collection'!$D:$D, 'SPAWNING PLOTS-normalized'!E$3))/SUMMARIES!$M$5</f>
        <v>1197.4789915966387</v>
      </c>
      <c r="F6" s="153">
        <f>(SUMIFS('Larvae Collection'!$R:$R, 'Larvae Collection'!$A:$A,'SPAWNING PLOTS-normalized'!$A6, 'Larvae Collection'!$D:$D, 'SPAWNING PLOTS-normalized'!F$3))/SUMMARIES!$M$6</f>
        <v>227.67052767052766</v>
      </c>
      <c r="G6" s="153">
        <f>(SUMIFS('Larvae Collection'!$R:$R, 'Larvae Collection'!$A:$A,'SPAWNING PLOTS-normalized'!$A6, 'Larvae Collection'!$D:$D, 'SPAWNING PLOTS-normalized'!G$3))/SUMMARIES!$M$7</f>
        <v>74.81481481481481</v>
      </c>
      <c r="H6" s="153">
        <f>(SUMIFS('Larvae Collection'!$R:$R, 'Larvae Collection'!$A:$A,'SPAWNING PLOTS-normalized'!$A6, 'Larvae Collection'!$D:$D, 'SPAWNING PLOTS-normalized'!H$3))/SUMMARIES!$M$8</f>
        <v>306.83760683760687</v>
      </c>
      <c r="I6" s="153">
        <f>(SUMIFS('Larvae Collection'!$R:$R, 'Larvae Collection'!$A:$A,'SPAWNING PLOTS-normalized'!$A6, 'Larvae Collection'!$D:$D, 'SPAWNING PLOTS-normalized'!I$3))/SUMMARIES!$M$9</f>
        <v>31.658536585365855</v>
      </c>
      <c r="J6" s="153">
        <f>(SUMIFS('Larvae Collection'!$R:$R, 'Larvae Collection'!$A:$A,'SPAWNING PLOTS-normalized'!$A6, 'Larvae Collection'!$D:$D, 'SPAWNING PLOTS-normalized'!J$3))/SUMMARIES!$M$10</f>
        <v>0</v>
      </c>
      <c r="K6" s="153">
        <f>(SUMIFS('Larvae Collection'!$R:$R, 'Larvae Collection'!$A:$A,'SPAWNING PLOTS-normalized'!$A6, 'Larvae Collection'!$D:$D, 'SPAWNING PLOTS-normalized'!K$3))/SUMMARIES!$M$11</f>
        <v>0</v>
      </c>
      <c r="L6" s="153">
        <f>(SUMIFS('Larvae Collection'!$R:$R, 'Larvae Collection'!$A:$A,'SPAWNING PLOTS-normalized'!$A6, 'Larvae Collection'!$D:$D, 'SPAWNING PLOTS-normalized'!L$3))/SUMMARIES!$M$12</f>
        <v>0</v>
      </c>
      <c r="M6" s="153">
        <f>(SUMIFS('Larvae Collection'!$R:$R, 'Larvae Collection'!$A:$A,'SPAWNING PLOTS-normalized'!$A6, 'Larvae Collection'!$D:$D, 'SPAWNING PLOTS-normalized'!M$3))/SUMMARIES!$M$13</f>
        <v>0</v>
      </c>
      <c r="N6" s="153">
        <f>(SUMIFS('Larvae Collection'!$R:$R, 'Larvae Collection'!$A:$A,'SPAWNING PLOTS-normalized'!$A6, 'Larvae Collection'!$D:$D, 'SPAWNING PLOTS-normalized'!N$3))/SUMMARIES!$M$14</f>
        <v>0</v>
      </c>
      <c r="O6" s="153">
        <f>(SUMIFS('Larvae Collection'!$R:$R, 'Larvae Collection'!$A:$A,'SPAWNING PLOTS-normalized'!$A6, 'Larvae Collection'!$D:$D, 'SPAWNING PLOTS-normalized'!O$3))/SUMMARIES!$M$15</f>
        <v>11.538461538461538</v>
      </c>
      <c r="P6" s="153">
        <f>(SUMIFS('Larvae Collection'!$R:$R, 'Larvae Collection'!$A:$A,'SPAWNING PLOTS-normalized'!$A6, 'Larvae Collection'!$D:$D, 'SPAWNING PLOTS-normalized'!P$3))/SUMMARIES!$M$16</f>
        <v>0</v>
      </c>
      <c r="Q6" s="153">
        <f>(SUMIFS('Larvae Collection'!$R:$R, 'Larvae Collection'!$A:$A,'SPAWNING PLOTS-normalized'!$A6, 'Larvae Collection'!$D:$D, 'SPAWNING PLOTS-normalized'!Q$3))/SUMMARIES!$M$17</f>
        <v>27.513227513227516</v>
      </c>
      <c r="R6" s="151">
        <f t="shared" si="0"/>
        <v>418</v>
      </c>
      <c r="S6" s="151">
        <f t="shared" si="1"/>
        <v>0</v>
      </c>
      <c r="T6" s="151">
        <f t="shared" si="2"/>
        <v>1245.8738738738739</v>
      </c>
      <c r="U6" s="151">
        <f t="shared" si="2"/>
        <v>1929.8319327731092</v>
      </c>
      <c r="V6" s="151">
        <f t="shared" si="2"/>
        <v>227.67052767052766</v>
      </c>
      <c r="W6" s="151">
        <f t="shared" si="2"/>
        <v>4461.6296296296296</v>
      </c>
      <c r="X6" s="151">
        <f t="shared" si="2"/>
        <v>6020.1367521367511</v>
      </c>
      <c r="Y6" s="151">
        <f t="shared" si="2"/>
        <v>2014.8780487804879</v>
      </c>
      <c r="Z6" s="151">
        <f t="shared" si="2"/>
        <v>0</v>
      </c>
      <c r="AA6" s="151">
        <f t="shared" si="2"/>
        <v>0</v>
      </c>
      <c r="AB6" s="151">
        <f t="shared" si="2"/>
        <v>0</v>
      </c>
      <c r="AC6" s="151">
        <f t="shared" si="2"/>
        <v>0</v>
      </c>
      <c r="AD6" s="151">
        <f t="shared" si="2"/>
        <v>0</v>
      </c>
      <c r="AE6" s="151">
        <f t="shared" si="2"/>
        <v>11.538461538461538</v>
      </c>
      <c r="AF6" s="151">
        <f t="shared" si="2"/>
        <v>0</v>
      </c>
      <c r="AG6" s="151">
        <f t="shared" si="2"/>
        <v>27.513227513227516</v>
      </c>
    </row>
    <row r="7" spans="1:33" ht="19" x14ac:dyDescent="0.25">
      <c r="A7" s="150">
        <v>43192</v>
      </c>
      <c r="B7" s="153">
        <f>(SUMIFS('Larvae Collection'!$R:$R, 'Larvae Collection'!$A:$A,'SPAWNING PLOTS-normalized'!$A7, 'Larvae Collection'!$D:$D, 'SPAWNING PLOTS-normalized'!B$3))/SUMMARIES!$M$2</f>
        <v>0</v>
      </c>
      <c r="C7" s="153">
        <f>(SUMIFS('Larvae Collection'!$R:$R, 'Larvae Collection'!$A:$A,'SPAWNING PLOTS-normalized'!$A7, 'Larvae Collection'!$D:$D, 'SPAWNING PLOTS-normalized'!C$3))/SUMMARIES!$M$3</f>
        <v>3354.6666666666665</v>
      </c>
      <c r="D7" s="153">
        <f>(SUMIFS('Larvae Collection'!$R:$R, 'Larvae Collection'!$A:$A,'SPAWNING PLOTS-normalized'!$A7, 'Larvae Collection'!$D:$D, 'SPAWNING PLOTS-normalized'!D$3))/SUMMARIES!$M$4</f>
        <v>2470.2702702702704</v>
      </c>
      <c r="E7" s="153">
        <f>(SUMIFS('Larvae Collection'!$R:$R, 'Larvae Collection'!$A:$A,'SPAWNING PLOTS-normalized'!$A7, 'Larvae Collection'!$D:$D, 'SPAWNING PLOTS-normalized'!E$3))/SUMMARIES!$M$5</f>
        <v>0</v>
      </c>
      <c r="F7" s="153">
        <f>(SUMIFS('Larvae Collection'!$R:$R, 'Larvae Collection'!$A:$A,'SPAWNING PLOTS-normalized'!$A7, 'Larvae Collection'!$D:$D, 'SPAWNING PLOTS-normalized'!F$3))/SUMMARIES!$M$6</f>
        <v>1714.4504504504503</v>
      </c>
      <c r="G7" s="153">
        <f>(SUMIFS('Larvae Collection'!$R:$R, 'Larvae Collection'!$A:$A,'SPAWNING PLOTS-normalized'!$A7, 'Larvae Collection'!$D:$D, 'SPAWNING PLOTS-normalized'!G$3))/SUMMARIES!$M$7</f>
        <v>0</v>
      </c>
      <c r="H7" s="153">
        <f>(SUMIFS('Larvae Collection'!$R:$R, 'Larvae Collection'!$A:$A,'SPAWNING PLOTS-normalized'!$A7, 'Larvae Collection'!$D:$D, 'SPAWNING PLOTS-normalized'!H$3))/SUMMARIES!$M$8</f>
        <v>1662.2222222222222</v>
      </c>
      <c r="I7" s="153">
        <f>(SUMIFS('Larvae Collection'!$R:$R, 'Larvae Collection'!$A:$A,'SPAWNING PLOTS-normalized'!$A7, 'Larvae Collection'!$D:$D, 'SPAWNING PLOTS-normalized'!I$3))/SUMMARIES!$M$9</f>
        <v>1825.5284552845528</v>
      </c>
      <c r="J7" s="153">
        <f>(SUMIFS('Larvae Collection'!$R:$R, 'Larvae Collection'!$A:$A,'SPAWNING PLOTS-normalized'!$A7, 'Larvae Collection'!$D:$D, 'SPAWNING PLOTS-normalized'!J$3))/SUMMARIES!$M$10</f>
        <v>0</v>
      </c>
      <c r="K7" s="153">
        <f>(SUMIFS('Larvae Collection'!$R:$R, 'Larvae Collection'!$A:$A,'SPAWNING PLOTS-normalized'!$A7, 'Larvae Collection'!$D:$D, 'SPAWNING PLOTS-normalized'!K$3))/SUMMARIES!$M$11</f>
        <v>0</v>
      </c>
      <c r="L7" s="153">
        <f>(SUMIFS('Larvae Collection'!$R:$R, 'Larvae Collection'!$A:$A,'SPAWNING PLOTS-normalized'!$A7, 'Larvae Collection'!$D:$D, 'SPAWNING PLOTS-normalized'!L$3))/SUMMARIES!$M$12</f>
        <v>0</v>
      </c>
      <c r="M7" s="153">
        <f>(SUMIFS('Larvae Collection'!$R:$R, 'Larvae Collection'!$A:$A,'SPAWNING PLOTS-normalized'!$A7, 'Larvae Collection'!$D:$D, 'SPAWNING PLOTS-normalized'!M$3))/SUMMARIES!$M$13</f>
        <v>0</v>
      </c>
      <c r="N7" s="153">
        <f>(SUMIFS('Larvae Collection'!$R:$R, 'Larvae Collection'!$A:$A,'SPAWNING PLOTS-normalized'!$A7, 'Larvae Collection'!$D:$D, 'SPAWNING PLOTS-normalized'!N$3))/SUMMARIES!$M$14</f>
        <v>2497.939393939394</v>
      </c>
      <c r="O7" s="153">
        <f>(SUMIFS('Larvae Collection'!$R:$R, 'Larvae Collection'!$A:$A,'SPAWNING PLOTS-normalized'!$A7, 'Larvae Collection'!$D:$D, 'SPAWNING PLOTS-normalized'!O$3))/SUMMARIES!$M$15</f>
        <v>4510.3589743589746</v>
      </c>
      <c r="P7" s="153">
        <f>(SUMIFS('Larvae Collection'!$R:$R, 'Larvae Collection'!$A:$A,'SPAWNING PLOTS-normalized'!$A7, 'Larvae Collection'!$D:$D, 'SPAWNING PLOTS-normalized'!P$3))/SUMMARIES!$M$16</f>
        <v>4173.333333333333</v>
      </c>
      <c r="Q7" s="153">
        <f>(SUMIFS('Larvae Collection'!$R:$R, 'Larvae Collection'!$A:$A,'SPAWNING PLOTS-normalized'!$A7, 'Larvae Collection'!$D:$D, 'SPAWNING PLOTS-normalized'!Q$3))/SUMMARIES!$M$17</f>
        <v>339.04761904761904</v>
      </c>
      <c r="R7" s="151">
        <f t="shared" si="0"/>
        <v>418</v>
      </c>
      <c r="S7" s="151">
        <f t="shared" si="1"/>
        <v>3354.6666666666665</v>
      </c>
      <c r="T7" s="151">
        <f t="shared" si="2"/>
        <v>3716.1441441441443</v>
      </c>
      <c r="U7" s="151">
        <f t="shared" si="2"/>
        <v>1929.8319327731092</v>
      </c>
      <c r="V7" s="151">
        <f t="shared" si="2"/>
        <v>1942.120978120978</v>
      </c>
      <c r="W7" s="151">
        <f t="shared" si="2"/>
        <v>4461.6296296296296</v>
      </c>
      <c r="X7" s="151">
        <f t="shared" si="2"/>
        <v>7682.3589743589728</v>
      </c>
      <c r="Y7" s="151">
        <f t="shared" si="2"/>
        <v>3840.4065040650407</v>
      </c>
      <c r="Z7" s="151">
        <f t="shared" si="2"/>
        <v>0</v>
      </c>
      <c r="AA7" s="151">
        <f t="shared" si="2"/>
        <v>0</v>
      </c>
      <c r="AB7" s="151">
        <f t="shared" si="2"/>
        <v>0</v>
      </c>
      <c r="AC7" s="151">
        <f t="shared" si="2"/>
        <v>0</v>
      </c>
      <c r="AD7" s="151">
        <f t="shared" si="2"/>
        <v>2497.939393939394</v>
      </c>
      <c r="AE7" s="151">
        <f t="shared" si="2"/>
        <v>4521.8974358974365</v>
      </c>
      <c r="AF7" s="151">
        <f t="shared" si="2"/>
        <v>4173.333333333333</v>
      </c>
      <c r="AG7" s="151">
        <f t="shared" si="2"/>
        <v>366.56084656084653</v>
      </c>
    </row>
    <row r="8" spans="1:33" ht="19" x14ac:dyDescent="0.25">
      <c r="A8" s="150">
        <v>43193</v>
      </c>
      <c r="B8" s="153">
        <f>(SUMIFS('Larvae Collection'!$R:$R, 'Larvae Collection'!$A:$A,'SPAWNING PLOTS-normalized'!$A8, 'Larvae Collection'!$D:$D, 'SPAWNING PLOTS-normalized'!B$3))/SUMMARIES!$M$2</f>
        <v>756</v>
      </c>
      <c r="C8" s="153">
        <f>(SUMIFS('Larvae Collection'!$R:$R, 'Larvae Collection'!$A:$A,'SPAWNING PLOTS-normalized'!$A8, 'Larvae Collection'!$D:$D, 'SPAWNING PLOTS-normalized'!C$3))/SUMMARIES!$M$3</f>
        <v>2393.6</v>
      </c>
      <c r="D8" s="153">
        <f>(SUMIFS('Larvae Collection'!$R:$R, 'Larvae Collection'!$A:$A,'SPAWNING PLOTS-normalized'!$A8, 'Larvae Collection'!$D:$D, 'SPAWNING PLOTS-normalized'!D$3))/SUMMARIES!$M$4</f>
        <v>0</v>
      </c>
      <c r="E8" s="153">
        <f>(SUMIFS('Larvae Collection'!$R:$R, 'Larvae Collection'!$A:$A,'SPAWNING PLOTS-normalized'!$A8, 'Larvae Collection'!$D:$D, 'SPAWNING PLOTS-normalized'!E$3))/SUMMARIES!$M$5</f>
        <v>1575.686274509804</v>
      </c>
      <c r="F8" s="153">
        <f>(SUMIFS('Larvae Collection'!$R:$R, 'Larvae Collection'!$A:$A,'SPAWNING PLOTS-normalized'!$A8, 'Larvae Collection'!$D:$D, 'SPAWNING PLOTS-normalized'!F$3))/SUMMARIES!$M$6</f>
        <v>0</v>
      </c>
      <c r="G8" s="153">
        <f>(SUMIFS('Larvae Collection'!$R:$R, 'Larvae Collection'!$A:$A,'SPAWNING PLOTS-normalized'!$A8, 'Larvae Collection'!$D:$D, 'SPAWNING PLOTS-normalized'!G$3))/SUMMARIES!$M$7</f>
        <v>0</v>
      </c>
      <c r="H8" s="153">
        <f>(SUMIFS('Larvae Collection'!$R:$R, 'Larvae Collection'!$A:$A,'SPAWNING PLOTS-normalized'!$A8, 'Larvae Collection'!$D:$D, 'SPAWNING PLOTS-normalized'!H$3))/SUMMARIES!$M$8</f>
        <v>0</v>
      </c>
      <c r="I8" s="153">
        <f>(SUMIFS('Larvae Collection'!$R:$R, 'Larvae Collection'!$A:$A,'SPAWNING PLOTS-normalized'!$A8, 'Larvae Collection'!$D:$D, 'SPAWNING PLOTS-normalized'!I$3))/SUMMARIES!$M$9</f>
        <v>0</v>
      </c>
      <c r="J8" s="153">
        <f>(SUMIFS('Larvae Collection'!$R:$R, 'Larvae Collection'!$A:$A,'SPAWNING PLOTS-normalized'!$A8, 'Larvae Collection'!$D:$D, 'SPAWNING PLOTS-normalized'!J$3))/SUMMARIES!$M$10</f>
        <v>0</v>
      </c>
      <c r="K8" s="153">
        <f>(SUMIFS('Larvae Collection'!$R:$R, 'Larvae Collection'!$A:$A,'SPAWNING PLOTS-normalized'!$A8, 'Larvae Collection'!$D:$D, 'SPAWNING PLOTS-normalized'!K$3))/SUMMARIES!$M$11</f>
        <v>0</v>
      </c>
      <c r="L8" s="153">
        <f>(SUMIFS('Larvae Collection'!$R:$R, 'Larvae Collection'!$A:$A,'SPAWNING PLOTS-normalized'!$A8, 'Larvae Collection'!$D:$D, 'SPAWNING PLOTS-normalized'!L$3))/SUMMARIES!$M$12</f>
        <v>0</v>
      </c>
      <c r="M8" s="153">
        <f>(SUMIFS('Larvae Collection'!$R:$R, 'Larvae Collection'!$A:$A,'SPAWNING PLOTS-normalized'!$A8, 'Larvae Collection'!$D:$D, 'SPAWNING PLOTS-normalized'!M$3))/SUMMARIES!$M$13</f>
        <v>0</v>
      </c>
      <c r="N8" s="153">
        <f>(SUMIFS('Larvae Collection'!$R:$R, 'Larvae Collection'!$A:$A,'SPAWNING PLOTS-normalized'!$A8, 'Larvae Collection'!$D:$D, 'SPAWNING PLOTS-normalized'!N$3))/SUMMARIES!$M$14</f>
        <v>0</v>
      </c>
      <c r="O8" s="153">
        <f>(SUMIFS('Larvae Collection'!$R:$R, 'Larvae Collection'!$A:$A,'SPAWNING PLOTS-normalized'!$A8, 'Larvae Collection'!$D:$D, 'SPAWNING PLOTS-normalized'!O$3))/SUMMARIES!$M$15</f>
        <v>171.93162393162393</v>
      </c>
      <c r="P8" s="153">
        <f>(SUMIFS('Larvae Collection'!$R:$R, 'Larvae Collection'!$A:$A,'SPAWNING PLOTS-normalized'!$A8, 'Larvae Collection'!$D:$D, 'SPAWNING PLOTS-normalized'!P$3))/SUMMARIES!$M$16</f>
        <v>233.03703703703707</v>
      </c>
      <c r="Q8" s="153">
        <f>(SUMIFS('Larvae Collection'!$R:$R, 'Larvae Collection'!$A:$A,'SPAWNING PLOTS-normalized'!$A8, 'Larvae Collection'!$D:$D, 'SPAWNING PLOTS-normalized'!Q$3))/SUMMARIES!$M$17</f>
        <v>2120</v>
      </c>
      <c r="R8" s="151">
        <f t="shared" si="0"/>
        <v>1174</v>
      </c>
      <c r="S8" s="151">
        <f t="shared" si="1"/>
        <v>5748.2666666666664</v>
      </c>
      <c r="T8" s="151">
        <f t="shared" si="2"/>
        <v>3716.1441441441443</v>
      </c>
      <c r="U8" s="151">
        <f t="shared" si="2"/>
        <v>3505.518207282913</v>
      </c>
      <c r="V8" s="151">
        <f t="shared" si="2"/>
        <v>1942.120978120978</v>
      </c>
      <c r="W8" s="151">
        <f t="shared" si="2"/>
        <v>4461.6296296296296</v>
      </c>
      <c r="X8" s="151">
        <f t="shared" si="2"/>
        <v>7682.3589743589728</v>
      </c>
      <c r="Y8" s="151">
        <f t="shared" si="2"/>
        <v>3840.4065040650407</v>
      </c>
      <c r="Z8" s="151">
        <f t="shared" si="2"/>
        <v>0</v>
      </c>
      <c r="AA8" s="151">
        <f t="shared" si="2"/>
        <v>0</v>
      </c>
      <c r="AB8" s="151">
        <f t="shared" si="2"/>
        <v>0</v>
      </c>
      <c r="AC8" s="151">
        <f t="shared" si="2"/>
        <v>0</v>
      </c>
      <c r="AD8" s="151">
        <f t="shared" si="2"/>
        <v>2497.939393939394</v>
      </c>
      <c r="AE8" s="151">
        <f t="shared" si="2"/>
        <v>4693.8290598290605</v>
      </c>
      <c r="AF8" s="151">
        <f t="shared" si="2"/>
        <v>4406.3703703703704</v>
      </c>
      <c r="AG8" s="151">
        <f t="shared" si="2"/>
        <v>2486.5608465608466</v>
      </c>
    </row>
    <row r="9" spans="1:33" ht="19" x14ac:dyDescent="0.25">
      <c r="A9" s="150">
        <v>43194</v>
      </c>
      <c r="B9" s="153">
        <f>(SUMIFS('Larvae Collection'!$R:$R, 'Larvae Collection'!$A:$A,'SPAWNING PLOTS-normalized'!$A9, 'Larvae Collection'!$D:$D, 'SPAWNING PLOTS-normalized'!B$3))/SUMMARIES!$M$2</f>
        <v>4013.8888888888891</v>
      </c>
      <c r="C9" s="153">
        <f>(SUMIFS('Larvae Collection'!$R:$R, 'Larvae Collection'!$A:$A,'SPAWNING PLOTS-normalized'!$A9, 'Larvae Collection'!$D:$D, 'SPAWNING PLOTS-normalized'!C$3))/SUMMARIES!$M$3</f>
        <v>1348.9777777777776</v>
      </c>
      <c r="D9" s="153">
        <f>(SUMIFS('Larvae Collection'!$R:$R, 'Larvae Collection'!$A:$A,'SPAWNING PLOTS-normalized'!$A9, 'Larvae Collection'!$D:$D, 'SPAWNING PLOTS-normalized'!D$3))/SUMMARIES!$M$4</f>
        <v>3808.333333333333</v>
      </c>
      <c r="E9" s="153">
        <f>(SUMIFS('Larvae Collection'!$R:$R, 'Larvae Collection'!$A:$A,'SPAWNING PLOTS-normalized'!$A9, 'Larvae Collection'!$D:$D, 'SPAWNING PLOTS-normalized'!E$3))/SUMMARIES!$M$5</f>
        <v>0</v>
      </c>
      <c r="F9" s="153">
        <f>(SUMIFS('Larvae Collection'!$R:$R, 'Larvae Collection'!$A:$A,'SPAWNING PLOTS-normalized'!$A9, 'Larvae Collection'!$D:$D, 'SPAWNING PLOTS-normalized'!F$3))/SUMMARIES!$M$6</f>
        <v>0</v>
      </c>
      <c r="G9" s="153">
        <f>(SUMIFS('Larvae Collection'!$R:$R, 'Larvae Collection'!$A:$A,'SPAWNING PLOTS-normalized'!$A9, 'Larvae Collection'!$D:$D, 'SPAWNING PLOTS-normalized'!G$3))/SUMMARIES!$M$7</f>
        <v>0</v>
      </c>
      <c r="H9" s="153">
        <f>(SUMIFS('Larvae Collection'!$R:$R, 'Larvae Collection'!$A:$A,'SPAWNING PLOTS-normalized'!$A9, 'Larvae Collection'!$D:$D, 'SPAWNING PLOTS-normalized'!H$3))/SUMMARIES!$M$8</f>
        <v>0</v>
      </c>
      <c r="I9" s="153">
        <f>(SUMIFS('Larvae Collection'!$R:$R, 'Larvae Collection'!$A:$A,'SPAWNING PLOTS-normalized'!$A9, 'Larvae Collection'!$D:$D, 'SPAWNING PLOTS-normalized'!I$3))/SUMMARIES!$M$9</f>
        <v>2781.7886178861786</v>
      </c>
      <c r="J9" s="153">
        <f>(SUMIFS('Larvae Collection'!$R:$R, 'Larvae Collection'!$A:$A,'SPAWNING PLOTS-normalized'!$A9, 'Larvae Collection'!$D:$D, 'SPAWNING PLOTS-normalized'!J$3))/SUMMARIES!$M$10</f>
        <v>0</v>
      </c>
      <c r="K9" s="153">
        <f>(SUMIFS('Larvae Collection'!$R:$R, 'Larvae Collection'!$A:$A,'SPAWNING PLOTS-normalized'!$A9, 'Larvae Collection'!$D:$D, 'SPAWNING PLOTS-normalized'!K$3))/SUMMARIES!$M$11</f>
        <v>526.15384615384619</v>
      </c>
      <c r="L9" s="153">
        <f>(SUMIFS('Larvae Collection'!$R:$R, 'Larvae Collection'!$A:$A,'SPAWNING PLOTS-normalized'!$A9, 'Larvae Collection'!$D:$D, 'SPAWNING PLOTS-normalized'!L$3))/SUMMARIES!$M$12</f>
        <v>1994.3859649122805</v>
      </c>
      <c r="M9" s="153">
        <f>(SUMIFS('Larvae Collection'!$R:$R, 'Larvae Collection'!$A:$A,'SPAWNING PLOTS-normalized'!$A9, 'Larvae Collection'!$D:$D, 'SPAWNING PLOTS-normalized'!M$3))/SUMMARIES!$M$13</f>
        <v>1470.5128205128203</v>
      </c>
      <c r="N9" s="153">
        <f>(SUMIFS('Larvae Collection'!$R:$R, 'Larvae Collection'!$A:$A,'SPAWNING PLOTS-normalized'!$A9, 'Larvae Collection'!$D:$D, 'SPAWNING PLOTS-normalized'!N$3))/SUMMARIES!$M$14</f>
        <v>0</v>
      </c>
      <c r="O9" s="153">
        <f>(SUMIFS('Larvae Collection'!$R:$R, 'Larvae Collection'!$A:$A,'SPAWNING PLOTS-normalized'!$A9, 'Larvae Collection'!$D:$D, 'SPAWNING PLOTS-normalized'!O$3))/SUMMARIES!$M$15</f>
        <v>1063.5897435897436</v>
      </c>
      <c r="P9" s="153">
        <f>(SUMIFS('Larvae Collection'!$R:$R, 'Larvae Collection'!$A:$A,'SPAWNING PLOTS-normalized'!$A9, 'Larvae Collection'!$D:$D, 'SPAWNING PLOTS-normalized'!P$3))/SUMMARIES!$M$16</f>
        <v>0</v>
      </c>
      <c r="Q9" s="153">
        <f>(SUMIFS('Larvae Collection'!$R:$R, 'Larvae Collection'!$A:$A,'SPAWNING PLOTS-normalized'!$A9, 'Larvae Collection'!$D:$D, 'SPAWNING PLOTS-normalized'!Q$3))/SUMMARIES!$M$17</f>
        <v>372.85714285714283</v>
      </c>
      <c r="R9" s="151">
        <f t="shared" si="0"/>
        <v>5187.8888888888887</v>
      </c>
      <c r="S9" s="151">
        <f t="shared" si="1"/>
        <v>7097.2444444444445</v>
      </c>
      <c r="T9" s="151">
        <f t="shared" si="2"/>
        <v>7524.4774774774778</v>
      </c>
      <c r="U9" s="151">
        <f t="shared" si="2"/>
        <v>3505.518207282913</v>
      </c>
      <c r="V9" s="151">
        <f t="shared" si="2"/>
        <v>1942.120978120978</v>
      </c>
      <c r="W9" s="151">
        <f t="shared" si="2"/>
        <v>4461.6296296296296</v>
      </c>
      <c r="X9" s="151">
        <f t="shared" si="2"/>
        <v>7682.3589743589728</v>
      </c>
      <c r="Y9" s="151">
        <f t="shared" si="2"/>
        <v>6622.1951219512193</v>
      </c>
      <c r="Z9" s="151">
        <f t="shared" si="2"/>
        <v>0</v>
      </c>
      <c r="AA9" s="151">
        <f t="shared" si="2"/>
        <v>526.15384615384619</v>
      </c>
      <c r="AB9" s="151">
        <f t="shared" si="2"/>
        <v>1994.3859649122805</v>
      </c>
      <c r="AC9" s="151">
        <f t="shared" si="2"/>
        <v>1470.5128205128203</v>
      </c>
      <c r="AD9" s="151">
        <f t="shared" si="2"/>
        <v>2497.939393939394</v>
      </c>
      <c r="AE9" s="151">
        <f t="shared" si="2"/>
        <v>5757.4188034188046</v>
      </c>
      <c r="AF9" s="151">
        <f t="shared" si="2"/>
        <v>4406.3703703703704</v>
      </c>
      <c r="AG9" s="151">
        <f t="shared" si="2"/>
        <v>2859.4179894179892</v>
      </c>
    </row>
    <row r="10" spans="1:33" ht="19" x14ac:dyDescent="0.25">
      <c r="A10" s="150">
        <v>43195</v>
      </c>
      <c r="B10" s="153">
        <f>(SUMIFS('Larvae Collection'!$R:$R, 'Larvae Collection'!$A:$A,'SPAWNING PLOTS-normalized'!$A10, 'Larvae Collection'!$D:$D, 'SPAWNING PLOTS-normalized'!B$3))/SUMMARIES!$M$2</f>
        <v>0</v>
      </c>
      <c r="C10" s="153">
        <f>(SUMIFS('Larvae Collection'!$R:$R, 'Larvae Collection'!$A:$A,'SPAWNING PLOTS-normalized'!$A10, 'Larvae Collection'!$D:$D, 'SPAWNING PLOTS-normalized'!C$3))/SUMMARIES!$M$3</f>
        <v>0</v>
      </c>
      <c r="D10" s="153">
        <f>(SUMIFS('Larvae Collection'!$R:$R, 'Larvae Collection'!$A:$A,'SPAWNING PLOTS-normalized'!$A10, 'Larvae Collection'!$D:$D, 'SPAWNING PLOTS-normalized'!D$3))/SUMMARIES!$M$4</f>
        <v>0</v>
      </c>
      <c r="E10" s="153">
        <f>(SUMIFS('Larvae Collection'!$R:$R, 'Larvae Collection'!$A:$A,'SPAWNING PLOTS-normalized'!$A10, 'Larvae Collection'!$D:$D, 'SPAWNING PLOTS-normalized'!E$3))/SUMMARIES!$M$5</f>
        <v>0</v>
      </c>
      <c r="F10" s="153">
        <f>(SUMIFS('Larvae Collection'!$R:$R, 'Larvae Collection'!$A:$A,'SPAWNING PLOTS-normalized'!$A10, 'Larvae Collection'!$D:$D, 'SPAWNING PLOTS-normalized'!F$3))/SUMMARIES!$M$6</f>
        <v>2231.3513513513512</v>
      </c>
      <c r="G10" s="153">
        <f>(SUMIFS('Larvae Collection'!$R:$R, 'Larvae Collection'!$A:$A,'SPAWNING PLOTS-normalized'!$A10, 'Larvae Collection'!$D:$D, 'SPAWNING PLOTS-normalized'!G$3))/SUMMARIES!$M$7</f>
        <v>0</v>
      </c>
      <c r="H10" s="153">
        <f>(SUMIFS('Larvae Collection'!$R:$R, 'Larvae Collection'!$A:$A,'SPAWNING PLOTS-normalized'!$A10, 'Larvae Collection'!$D:$D, 'SPAWNING PLOTS-normalized'!H$3))/SUMMARIES!$M$8</f>
        <v>1193.5897435897436</v>
      </c>
      <c r="I10" s="153">
        <f>(SUMIFS('Larvae Collection'!$R:$R, 'Larvae Collection'!$A:$A,'SPAWNING PLOTS-normalized'!$A10, 'Larvae Collection'!$D:$D, 'SPAWNING PLOTS-normalized'!I$3))/SUMMARIES!$M$9</f>
        <v>0</v>
      </c>
      <c r="J10" s="153">
        <f>(SUMIFS('Larvae Collection'!$R:$R, 'Larvae Collection'!$A:$A,'SPAWNING PLOTS-normalized'!$A10, 'Larvae Collection'!$D:$D, 'SPAWNING PLOTS-normalized'!J$3))/SUMMARIES!$M$10</f>
        <v>0</v>
      </c>
      <c r="K10" s="153">
        <f>(SUMIFS('Larvae Collection'!$R:$R, 'Larvae Collection'!$A:$A,'SPAWNING PLOTS-normalized'!$A10, 'Larvae Collection'!$D:$D, 'SPAWNING PLOTS-normalized'!K$3))/SUMMARIES!$M$11</f>
        <v>4482.0512820512822</v>
      </c>
      <c r="L10" s="153">
        <f>(SUMIFS('Larvae Collection'!$R:$R, 'Larvae Collection'!$A:$A,'SPAWNING PLOTS-normalized'!$A10, 'Larvae Collection'!$D:$D, 'SPAWNING PLOTS-normalized'!L$3))/SUMMARIES!$M$12</f>
        <v>0</v>
      </c>
      <c r="M10" s="153">
        <f>(SUMIFS('Larvae Collection'!$R:$R, 'Larvae Collection'!$A:$A,'SPAWNING PLOTS-normalized'!$A10, 'Larvae Collection'!$D:$D, 'SPAWNING PLOTS-normalized'!M$3))/SUMMARIES!$M$13</f>
        <v>0</v>
      </c>
      <c r="N10" s="153">
        <f>(SUMIFS('Larvae Collection'!$R:$R, 'Larvae Collection'!$A:$A,'SPAWNING PLOTS-normalized'!$A10, 'Larvae Collection'!$D:$D, 'SPAWNING PLOTS-normalized'!N$3))/SUMMARIES!$M$14</f>
        <v>1992.121212121212</v>
      </c>
      <c r="O10" s="153">
        <f>(SUMIFS('Larvae Collection'!$R:$R, 'Larvae Collection'!$A:$A,'SPAWNING PLOTS-normalized'!$A10, 'Larvae Collection'!$D:$D, 'SPAWNING PLOTS-normalized'!O$3))/SUMMARIES!$M$15</f>
        <v>697.43589743589746</v>
      </c>
      <c r="P10" s="153">
        <f>(SUMIFS('Larvae Collection'!$R:$R, 'Larvae Collection'!$A:$A,'SPAWNING PLOTS-normalized'!$A10, 'Larvae Collection'!$D:$D, 'SPAWNING PLOTS-normalized'!P$3))/SUMMARIES!$M$16</f>
        <v>0</v>
      </c>
      <c r="Q10" s="153">
        <f>(SUMIFS('Larvae Collection'!$R:$R, 'Larvae Collection'!$A:$A,'SPAWNING PLOTS-normalized'!$A10, 'Larvae Collection'!$D:$D, 'SPAWNING PLOTS-normalized'!Q$3))/SUMMARIES!$M$17</f>
        <v>2045.7142857142858</v>
      </c>
      <c r="R10" s="151">
        <f t="shared" si="0"/>
        <v>5187.8888888888887</v>
      </c>
      <c r="S10" s="151">
        <f t="shared" si="1"/>
        <v>7097.2444444444445</v>
      </c>
      <c r="T10" s="151">
        <f t="shared" si="2"/>
        <v>7524.4774774774778</v>
      </c>
      <c r="U10" s="151">
        <f t="shared" si="2"/>
        <v>3505.518207282913</v>
      </c>
      <c r="V10" s="151">
        <f t="shared" si="2"/>
        <v>4173.472329472329</v>
      </c>
      <c r="W10" s="151">
        <f t="shared" si="2"/>
        <v>4461.6296296296296</v>
      </c>
      <c r="X10" s="151">
        <f t="shared" si="2"/>
        <v>8875.9487179487169</v>
      </c>
      <c r="Y10" s="151">
        <f t="shared" si="2"/>
        <v>6622.1951219512193</v>
      </c>
      <c r="Z10" s="151">
        <f t="shared" si="2"/>
        <v>0</v>
      </c>
      <c r="AA10" s="151">
        <f t="shared" si="2"/>
        <v>5008.2051282051289</v>
      </c>
      <c r="AB10" s="151">
        <f t="shared" si="2"/>
        <v>1994.3859649122805</v>
      </c>
      <c r="AC10" s="151">
        <f t="shared" si="2"/>
        <v>1470.5128205128203</v>
      </c>
      <c r="AD10" s="151">
        <f t="shared" si="2"/>
        <v>4490.060606060606</v>
      </c>
      <c r="AE10" s="151">
        <f t="shared" si="2"/>
        <v>6454.8547008547021</v>
      </c>
      <c r="AF10" s="151">
        <f t="shared" si="2"/>
        <v>4406.3703703703704</v>
      </c>
      <c r="AG10" s="151">
        <f t="shared" si="2"/>
        <v>4905.132275132275</v>
      </c>
    </row>
    <row r="11" spans="1:33" ht="19" x14ac:dyDescent="0.25">
      <c r="A11" s="150">
        <v>43196</v>
      </c>
      <c r="B11" s="153">
        <f>(SUMIFS('Larvae Collection'!$R:$R, 'Larvae Collection'!$A:$A,'SPAWNING PLOTS-normalized'!$A11, 'Larvae Collection'!$D:$D, 'SPAWNING PLOTS-normalized'!B$3))/SUMMARIES!$M$2</f>
        <v>0</v>
      </c>
      <c r="C11" s="153">
        <f>(SUMIFS('Larvae Collection'!$R:$R, 'Larvae Collection'!$A:$A,'SPAWNING PLOTS-normalized'!$A11, 'Larvae Collection'!$D:$D, 'SPAWNING PLOTS-normalized'!C$3))/SUMMARIES!$M$3</f>
        <v>2073.3333333333335</v>
      </c>
      <c r="D11" s="153">
        <f>(SUMIFS('Larvae Collection'!$R:$R, 'Larvae Collection'!$A:$A,'SPAWNING PLOTS-normalized'!$A11, 'Larvae Collection'!$D:$D, 'SPAWNING PLOTS-normalized'!D$3))/SUMMARIES!$M$4</f>
        <v>1613.3333333333335</v>
      </c>
      <c r="E11" s="153">
        <f>(SUMIFS('Larvae Collection'!$R:$R, 'Larvae Collection'!$A:$A,'SPAWNING PLOTS-normalized'!$A11, 'Larvae Collection'!$D:$D, 'SPAWNING PLOTS-normalized'!E$3))/SUMMARIES!$M$5</f>
        <v>0</v>
      </c>
      <c r="F11" s="153">
        <f>(SUMIFS('Larvae Collection'!$R:$R, 'Larvae Collection'!$A:$A,'SPAWNING PLOTS-normalized'!$A11, 'Larvae Collection'!$D:$D, 'SPAWNING PLOTS-normalized'!F$3))/SUMMARIES!$M$6</f>
        <v>0</v>
      </c>
      <c r="G11" s="153">
        <f>(SUMIFS('Larvae Collection'!$R:$R, 'Larvae Collection'!$A:$A,'SPAWNING PLOTS-normalized'!$A11, 'Larvae Collection'!$D:$D, 'SPAWNING PLOTS-normalized'!G$3))/SUMMARIES!$M$7</f>
        <v>0</v>
      </c>
      <c r="H11" s="153">
        <f>(SUMIFS('Larvae Collection'!$R:$R, 'Larvae Collection'!$A:$A,'SPAWNING PLOTS-normalized'!$A11, 'Larvae Collection'!$D:$D, 'SPAWNING PLOTS-normalized'!H$3))/SUMMARIES!$M$8</f>
        <v>733.84615384615381</v>
      </c>
      <c r="I11" s="153">
        <f>(SUMIFS('Larvae Collection'!$R:$R, 'Larvae Collection'!$A:$A,'SPAWNING PLOTS-normalized'!$A11, 'Larvae Collection'!$D:$D, 'SPAWNING PLOTS-normalized'!I$3))/SUMMARIES!$M$9</f>
        <v>0</v>
      </c>
      <c r="J11" s="153">
        <f>(SUMIFS('Larvae Collection'!$R:$R, 'Larvae Collection'!$A:$A,'SPAWNING PLOTS-normalized'!$A11, 'Larvae Collection'!$D:$D, 'SPAWNING PLOTS-normalized'!J$3))/SUMMARIES!$M$10</f>
        <v>0</v>
      </c>
      <c r="K11" s="153">
        <f>(SUMIFS('Larvae Collection'!$R:$R, 'Larvae Collection'!$A:$A,'SPAWNING PLOTS-normalized'!$A11, 'Larvae Collection'!$D:$D, 'SPAWNING PLOTS-normalized'!K$3))/SUMMARIES!$M$11</f>
        <v>0</v>
      </c>
      <c r="L11" s="153">
        <f>(SUMIFS('Larvae Collection'!$R:$R, 'Larvae Collection'!$A:$A,'SPAWNING PLOTS-normalized'!$A11, 'Larvae Collection'!$D:$D, 'SPAWNING PLOTS-normalized'!L$3))/SUMMARIES!$M$12</f>
        <v>0</v>
      </c>
      <c r="M11" s="153">
        <f>(SUMIFS('Larvae Collection'!$R:$R, 'Larvae Collection'!$A:$A,'SPAWNING PLOTS-normalized'!$A11, 'Larvae Collection'!$D:$D, 'SPAWNING PLOTS-normalized'!M$3))/SUMMARIES!$M$13</f>
        <v>0</v>
      </c>
      <c r="N11" s="153">
        <f>(SUMIFS('Larvae Collection'!$R:$R, 'Larvae Collection'!$A:$A,'SPAWNING PLOTS-normalized'!$A11, 'Larvae Collection'!$D:$D, 'SPAWNING PLOTS-normalized'!N$3))/SUMMARIES!$M$14</f>
        <v>408</v>
      </c>
      <c r="O11" s="153">
        <f>(SUMIFS('Larvae Collection'!$R:$R, 'Larvae Collection'!$A:$A,'SPAWNING PLOTS-normalized'!$A11, 'Larvae Collection'!$D:$D, 'SPAWNING PLOTS-normalized'!O$3))/SUMMARIES!$M$15</f>
        <v>65.054945054945051</v>
      </c>
      <c r="P11" s="153">
        <f>(SUMIFS('Larvae Collection'!$R:$R, 'Larvae Collection'!$A:$A,'SPAWNING PLOTS-normalized'!$A11, 'Larvae Collection'!$D:$D, 'SPAWNING PLOTS-normalized'!P$3))/SUMMARIES!$M$16</f>
        <v>0</v>
      </c>
      <c r="Q11" s="153">
        <f>(SUMIFS('Larvae Collection'!$R:$R, 'Larvae Collection'!$A:$A,'SPAWNING PLOTS-normalized'!$A11, 'Larvae Collection'!$D:$D, 'SPAWNING PLOTS-normalized'!Q$3))/SUMMARIES!$M$17</f>
        <v>0</v>
      </c>
      <c r="R11" s="151">
        <f t="shared" si="0"/>
        <v>5187.8888888888887</v>
      </c>
      <c r="S11" s="151">
        <f t="shared" si="1"/>
        <v>9170.5777777777785</v>
      </c>
      <c r="T11" s="151">
        <f t="shared" si="2"/>
        <v>9137.8108108108117</v>
      </c>
      <c r="U11" s="151">
        <f t="shared" si="2"/>
        <v>3505.518207282913</v>
      </c>
      <c r="V11" s="151">
        <f t="shared" si="2"/>
        <v>4173.472329472329</v>
      </c>
      <c r="W11" s="151">
        <f t="shared" si="2"/>
        <v>4461.6296296296296</v>
      </c>
      <c r="X11" s="151">
        <f t="shared" si="2"/>
        <v>9609.7948717948711</v>
      </c>
      <c r="Y11" s="151">
        <f t="shared" si="2"/>
        <v>6622.1951219512193</v>
      </c>
      <c r="Z11" s="151">
        <f t="shared" si="2"/>
        <v>0</v>
      </c>
      <c r="AA11" s="151">
        <f t="shared" si="2"/>
        <v>5008.2051282051289</v>
      </c>
      <c r="AB11" s="151">
        <f t="shared" si="2"/>
        <v>1994.3859649122805</v>
      </c>
      <c r="AC11" s="151">
        <f t="shared" si="2"/>
        <v>1470.5128205128203</v>
      </c>
      <c r="AD11" s="151">
        <f t="shared" si="2"/>
        <v>4898.060606060606</v>
      </c>
      <c r="AE11" s="151">
        <f t="shared" si="2"/>
        <v>6519.9096459096472</v>
      </c>
      <c r="AF11" s="151">
        <f t="shared" si="2"/>
        <v>4406.3703703703704</v>
      </c>
      <c r="AG11" s="151">
        <f t="shared" si="2"/>
        <v>4905.132275132275</v>
      </c>
    </row>
    <row r="12" spans="1:33" s="154" customFormat="1" ht="20" thickBot="1" x14ac:dyDescent="0.3">
      <c r="A12" s="150">
        <v>43197</v>
      </c>
      <c r="B12" s="153">
        <f>(SUMIFS('Larvae Collection'!$R:$R, 'Larvae Collection'!$A:$A,'SPAWNING PLOTS-normalized'!$A12, 'Larvae Collection'!$D:$D, 'SPAWNING PLOTS-normalized'!B$3))/SUMMARIES!$M$2</f>
        <v>59.0625</v>
      </c>
      <c r="C12" s="153">
        <f>(SUMIFS('Larvae Collection'!$R:$R, 'Larvae Collection'!$A:$A,'SPAWNING PLOTS-normalized'!$A12, 'Larvae Collection'!$D:$D, 'SPAWNING PLOTS-normalized'!C$3))/SUMMARIES!$M$3</f>
        <v>68.933333333333337</v>
      </c>
      <c r="D12" s="153">
        <f>(SUMIFS('Larvae Collection'!$R:$R, 'Larvae Collection'!$A:$A,'SPAWNING PLOTS-normalized'!$A12, 'Larvae Collection'!$D:$D, 'SPAWNING PLOTS-normalized'!D$3))/SUMMARIES!$M$4</f>
        <v>143.38738738738738</v>
      </c>
      <c r="E12" s="153">
        <f>(SUMIFS('Larvae Collection'!$R:$R, 'Larvae Collection'!$A:$A,'SPAWNING PLOTS-normalized'!$A12, 'Larvae Collection'!$D:$D, 'SPAWNING PLOTS-normalized'!E$3))/SUMMARIES!$M$5</f>
        <v>56.470588235294116</v>
      </c>
      <c r="F12" s="153">
        <f>(SUMIFS('Larvae Collection'!$R:$R, 'Larvae Collection'!$A:$A,'SPAWNING PLOTS-normalized'!$A12, 'Larvae Collection'!$D:$D, 'SPAWNING PLOTS-normalized'!F$3))/SUMMARIES!$M$6</f>
        <v>181.76576576576579</v>
      </c>
      <c r="G12" s="153">
        <f>(SUMIFS('Larvae Collection'!$R:$R, 'Larvae Collection'!$A:$A,'SPAWNING PLOTS-normalized'!$A12, 'Larvae Collection'!$D:$D, 'SPAWNING PLOTS-normalized'!G$3))/SUMMARIES!$M$7</f>
        <v>0</v>
      </c>
      <c r="H12" s="153">
        <f>(SUMIFS('Larvae Collection'!$R:$R, 'Larvae Collection'!$A:$A,'SPAWNING PLOTS-normalized'!$A12, 'Larvae Collection'!$D:$D, 'SPAWNING PLOTS-normalized'!H$3))/SUMMARIES!$M$8</f>
        <v>5866.666666666667</v>
      </c>
      <c r="I12" s="153">
        <f>(SUMIFS('Larvae Collection'!$R:$R, 'Larvae Collection'!$A:$A,'SPAWNING PLOTS-normalized'!$A12, 'Larvae Collection'!$D:$D, 'SPAWNING PLOTS-normalized'!I$3))/SUMMARIES!$M$9</f>
        <v>868.83468834688335</v>
      </c>
      <c r="J12" s="153">
        <f>(SUMIFS('Larvae Collection'!$R:$R, 'Larvae Collection'!$A:$A,'SPAWNING PLOTS-normalized'!$A12, 'Larvae Collection'!$D:$D, 'SPAWNING PLOTS-normalized'!J$3))/SUMMARIES!$M$10</f>
        <v>914.90909090909088</v>
      </c>
      <c r="K12" s="153">
        <f>(SUMIFS('Larvae Collection'!$R:$R, 'Larvae Collection'!$A:$A,'SPAWNING PLOTS-normalized'!$A12, 'Larvae Collection'!$D:$D, 'SPAWNING PLOTS-normalized'!K$3))/SUMMARIES!$M$11</f>
        <v>184.61538461538461</v>
      </c>
      <c r="L12" s="153">
        <f>(SUMIFS('Larvae Collection'!$R:$R, 'Larvae Collection'!$A:$A,'SPAWNING PLOTS-normalized'!$A12, 'Larvae Collection'!$D:$D, 'SPAWNING PLOTS-normalized'!L$3))/SUMMARIES!$M$12</f>
        <v>967.71929824561414</v>
      </c>
      <c r="M12" s="153">
        <f>(SUMIFS('Larvae Collection'!$R:$R, 'Larvae Collection'!$A:$A,'SPAWNING PLOTS-normalized'!$A12, 'Larvae Collection'!$D:$D, 'SPAWNING PLOTS-normalized'!M$3))/SUMMARIES!$M$13</f>
        <v>0</v>
      </c>
      <c r="N12" s="153">
        <f>(SUMIFS('Larvae Collection'!$R:$R, 'Larvae Collection'!$A:$A,'SPAWNING PLOTS-normalized'!$A12, 'Larvae Collection'!$D:$D, 'SPAWNING PLOTS-normalized'!N$3))/SUMMARIES!$M$14</f>
        <v>0</v>
      </c>
      <c r="O12" s="153">
        <f>(SUMIFS('Larvae Collection'!$R:$R, 'Larvae Collection'!$A:$A,'SPAWNING PLOTS-normalized'!$A12, 'Larvae Collection'!$D:$D, 'SPAWNING PLOTS-normalized'!O$3))/SUMMARIES!$M$15</f>
        <v>1756.4102564102564</v>
      </c>
      <c r="P12" s="153">
        <f>(SUMIFS('Larvae Collection'!$R:$R, 'Larvae Collection'!$A:$A,'SPAWNING PLOTS-normalized'!$A12, 'Larvae Collection'!$D:$D, 'SPAWNING PLOTS-normalized'!P$3))/SUMMARIES!$M$16</f>
        <v>524.44444444444446</v>
      </c>
      <c r="Q12" s="153">
        <f>(SUMIFS('Larvae Collection'!$R:$R, 'Larvae Collection'!$A:$A,'SPAWNING PLOTS-normalized'!$A12, 'Larvae Collection'!$D:$D, 'SPAWNING PLOTS-normalized'!Q$3))/SUMMARIES!$M$17</f>
        <v>4488.0952380952385</v>
      </c>
      <c r="R12" s="151">
        <f t="shared" si="0"/>
        <v>5246.9513888888887</v>
      </c>
      <c r="S12" s="151">
        <f t="shared" si="1"/>
        <v>9239.5111111111109</v>
      </c>
      <c r="T12" s="151">
        <f t="shared" si="2"/>
        <v>9281.198198198199</v>
      </c>
      <c r="U12" s="151">
        <f t="shared" si="2"/>
        <v>3561.9887955182071</v>
      </c>
      <c r="V12" s="151">
        <f t="shared" si="2"/>
        <v>4355.2380952380945</v>
      </c>
      <c r="W12" s="151">
        <f t="shared" si="2"/>
        <v>4461.6296296296296</v>
      </c>
      <c r="X12" s="151">
        <f t="shared" si="2"/>
        <v>15476.461538461539</v>
      </c>
      <c r="Y12" s="151">
        <f t="shared" si="2"/>
        <v>7491.0298102981023</v>
      </c>
      <c r="Z12" s="151">
        <f t="shared" si="2"/>
        <v>914.90909090909088</v>
      </c>
      <c r="AA12" s="151">
        <f t="shared" si="2"/>
        <v>5192.8205128205136</v>
      </c>
      <c r="AB12" s="151">
        <f t="shared" si="2"/>
        <v>2962.1052631578946</v>
      </c>
      <c r="AC12" s="151">
        <f t="shared" si="2"/>
        <v>1470.5128205128203</v>
      </c>
      <c r="AD12" s="151">
        <f t="shared" si="2"/>
        <v>4898.060606060606</v>
      </c>
      <c r="AE12" s="151">
        <f t="shared" si="2"/>
        <v>8276.3199023199031</v>
      </c>
      <c r="AF12" s="151">
        <f t="shared" si="2"/>
        <v>4930.8148148148148</v>
      </c>
      <c r="AG12" s="151">
        <f t="shared" si="2"/>
        <v>9393.2275132275136</v>
      </c>
    </row>
    <row r="13" spans="1:33" ht="20" thickTop="1" x14ac:dyDescent="0.25">
      <c r="A13" s="150">
        <v>43198</v>
      </c>
      <c r="B13" s="153">
        <f>(SUMIFS('Larvae Collection'!$R:$R, 'Larvae Collection'!$A:$A,'SPAWNING PLOTS-normalized'!$A13, 'Larvae Collection'!$D:$D, 'SPAWNING PLOTS-normalized'!B$3))/SUMMARIES!$M$2</f>
        <v>12933.333333333334</v>
      </c>
      <c r="C13" s="153">
        <f>(SUMIFS('Larvae Collection'!$R:$R, 'Larvae Collection'!$A:$A,'SPAWNING PLOTS-normalized'!$A13, 'Larvae Collection'!$D:$D, 'SPAWNING PLOTS-normalized'!C$3))/SUMMARIES!$M$3</f>
        <v>9126.6666666666661</v>
      </c>
      <c r="D13" s="153">
        <f>(SUMIFS('Larvae Collection'!$R:$R, 'Larvae Collection'!$A:$A,'SPAWNING PLOTS-normalized'!$A13, 'Larvae Collection'!$D:$D, 'SPAWNING PLOTS-normalized'!D$3))/SUMMARIES!$M$4</f>
        <v>0</v>
      </c>
      <c r="E13" s="153">
        <f>(SUMIFS('Larvae Collection'!$R:$R, 'Larvae Collection'!$A:$A,'SPAWNING PLOTS-normalized'!$A13, 'Larvae Collection'!$D:$D, 'SPAWNING PLOTS-normalized'!E$3))/SUMMARIES!$M$5</f>
        <v>1400</v>
      </c>
      <c r="F13" s="153">
        <f>(SUMIFS('Larvae Collection'!$R:$R, 'Larvae Collection'!$A:$A,'SPAWNING PLOTS-normalized'!$A13, 'Larvae Collection'!$D:$D, 'SPAWNING PLOTS-normalized'!F$3))/SUMMARIES!$M$6</f>
        <v>1399.8198198198197</v>
      </c>
      <c r="G13" s="153">
        <f>(SUMIFS('Larvae Collection'!$R:$R, 'Larvae Collection'!$A:$A,'SPAWNING PLOTS-normalized'!$A13, 'Larvae Collection'!$D:$D, 'SPAWNING PLOTS-normalized'!G$3))/SUMMARIES!$M$7</f>
        <v>3640</v>
      </c>
      <c r="H13" s="153">
        <f>(SUMIFS('Larvae Collection'!$R:$R, 'Larvae Collection'!$A:$A,'SPAWNING PLOTS-normalized'!$A13, 'Larvae Collection'!$D:$D, 'SPAWNING PLOTS-normalized'!H$3))/SUMMARIES!$M$8</f>
        <v>0</v>
      </c>
      <c r="I13" s="153">
        <f>(SUMIFS('Larvae Collection'!$R:$R, 'Larvae Collection'!$A:$A,'SPAWNING PLOTS-normalized'!$A13, 'Larvae Collection'!$D:$D, 'SPAWNING PLOTS-normalized'!I$3))/SUMMARIES!$M$9</f>
        <v>1507.8455284552847</v>
      </c>
      <c r="J13" s="153">
        <f>(SUMIFS('Larvae Collection'!$R:$R, 'Larvae Collection'!$A:$A,'SPAWNING PLOTS-normalized'!$A13, 'Larvae Collection'!$D:$D, 'SPAWNING PLOTS-normalized'!J$3))/SUMMARIES!$M$10</f>
        <v>6810.5050505050513</v>
      </c>
      <c r="K13" s="153">
        <f>(SUMIFS('Larvae Collection'!$R:$R, 'Larvae Collection'!$A:$A,'SPAWNING PLOTS-normalized'!$A13, 'Larvae Collection'!$D:$D, 'SPAWNING PLOTS-normalized'!K$3))/SUMMARIES!$M$11</f>
        <v>2839.8290598290596</v>
      </c>
      <c r="L13" s="153">
        <f>(SUMIFS('Larvae Collection'!$R:$R, 'Larvae Collection'!$A:$A,'SPAWNING PLOTS-normalized'!$A13, 'Larvae Collection'!$D:$D, 'SPAWNING PLOTS-normalized'!L$3))/SUMMARIES!$M$12</f>
        <v>3590.5263157894738</v>
      </c>
      <c r="M13" s="153">
        <f>(SUMIFS('Larvae Collection'!$R:$R, 'Larvae Collection'!$A:$A,'SPAWNING PLOTS-normalized'!$A13, 'Larvae Collection'!$D:$D, 'SPAWNING PLOTS-normalized'!M$3))/SUMMARIES!$M$13</f>
        <v>0</v>
      </c>
      <c r="N13" s="153">
        <f>(SUMIFS('Larvae Collection'!$R:$R, 'Larvae Collection'!$A:$A,'SPAWNING PLOTS-normalized'!$A13, 'Larvae Collection'!$D:$D, 'SPAWNING PLOTS-normalized'!N$3))/SUMMARIES!$M$14</f>
        <v>7054.545454545455</v>
      </c>
      <c r="O13" s="153">
        <f>(SUMIFS('Larvae Collection'!$R:$R, 'Larvae Collection'!$A:$A,'SPAWNING PLOTS-normalized'!$A13, 'Larvae Collection'!$D:$D, 'SPAWNING PLOTS-normalized'!O$3))/SUMMARIES!$M$15</f>
        <v>2754.8717948717949</v>
      </c>
      <c r="P13" s="153">
        <f>(SUMIFS('Larvae Collection'!$R:$R, 'Larvae Collection'!$A:$A,'SPAWNING PLOTS-normalized'!$A13, 'Larvae Collection'!$D:$D, 'SPAWNING PLOTS-normalized'!P$3))/SUMMARIES!$M$16</f>
        <v>537.03703703703707</v>
      </c>
      <c r="Q13" s="153">
        <f>(SUMIFS('Larvae Collection'!$R:$R, 'Larvae Collection'!$A:$A,'SPAWNING PLOTS-normalized'!$A13, 'Larvae Collection'!$D:$D, 'SPAWNING PLOTS-normalized'!Q$3))/SUMMARIES!$M$17</f>
        <v>862.5</v>
      </c>
      <c r="R13" s="151">
        <f t="shared" si="0"/>
        <v>18180.284722222223</v>
      </c>
      <c r="S13" s="151">
        <f t="shared" si="1"/>
        <v>18366.177777777775</v>
      </c>
      <c r="T13" s="151">
        <f t="shared" si="2"/>
        <v>9281.198198198199</v>
      </c>
      <c r="U13" s="151">
        <f t="shared" si="2"/>
        <v>4961.9887955182076</v>
      </c>
      <c r="V13" s="151">
        <f t="shared" si="2"/>
        <v>5755.0579150579142</v>
      </c>
      <c r="W13" s="151">
        <f t="shared" si="2"/>
        <v>8101.6296296296296</v>
      </c>
      <c r="X13" s="151">
        <f t="shared" si="2"/>
        <v>15476.461538461539</v>
      </c>
      <c r="Y13" s="151">
        <f t="shared" si="2"/>
        <v>8998.875338753387</v>
      </c>
      <c r="Z13" s="151">
        <f t="shared" si="2"/>
        <v>7725.4141414141423</v>
      </c>
      <c r="AA13" s="151">
        <f t="shared" si="2"/>
        <v>8032.6495726495732</v>
      </c>
      <c r="AB13" s="151">
        <f t="shared" si="2"/>
        <v>6552.6315789473683</v>
      </c>
      <c r="AC13" s="151">
        <f t="shared" si="2"/>
        <v>1470.5128205128203</v>
      </c>
      <c r="AD13" s="151">
        <f t="shared" si="2"/>
        <v>11952.60606060606</v>
      </c>
      <c r="AE13" s="151">
        <f t="shared" si="2"/>
        <v>11031.191697191698</v>
      </c>
      <c r="AF13" s="151">
        <f t="shared" si="2"/>
        <v>5467.8518518518522</v>
      </c>
      <c r="AG13" s="151">
        <f t="shared" si="2"/>
        <v>10255.727513227514</v>
      </c>
    </row>
    <row r="14" spans="1:33" ht="19" x14ac:dyDescent="0.25">
      <c r="A14" s="150">
        <v>43199</v>
      </c>
      <c r="B14" s="153">
        <f>(SUMIFS('Larvae Collection'!$R:$R, 'Larvae Collection'!$A:$A,'SPAWNING PLOTS-normalized'!$A14, 'Larvae Collection'!$D:$D, 'SPAWNING PLOTS-normalized'!B$3))/SUMMARIES!$M$2</f>
        <v>528.64583333333326</v>
      </c>
      <c r="C14" s="153">
        <f>(SUMIFS('Larvae Collection'!$R:$R, 'Larvae Collection'!$A:$A,'SPAWNING PLOTS-normalized'!$A14, 'Larvae Collection'!$D:$D, 'SPAWNING PLOTS-normalized'!C$3))/SUMMARIES!$M$3</f>
        <v>0</v>
      </c>
      <c r="D14" s="153">
        <f>(SUMIFS('Larvae Collection'!$R:$R, 'Larvae Collection'!$A:$A,'SPAWNING PLOTS-normalized'!$A14, 'Larvae Collection'!$D:$D, 'SPAWNING PLOTS-normalized'!D$3))/SUMMARIES!$M$4</f>
        <v>0</v>
      </c>
      <c r="E14" s="153">
        <f>(SUMIFS('Larvae Collection'!$R:$R, 'Larvae Collection'!$A:$A,'SPAWNING PLOTS-normalized'!$A14, 'Larvae Collection'!$D:$D, 'SPAWNING PLOTS-normalized'!E$3))/SUMMARIES!$M$5</f>
        <v>0</v>
      </c>
      <c r="F14" s="153">
        <f>(SUMIFS('Larvae Collection'!$R:$R, 'Larvae Collection'!$A:$A,'SPAWNING PLOTS-normalized'!$A14, 'Larvae Collection'!$D:$D, 'SPAWNING PLOTS-normalized'!F$3))/SUMMARIES!$M$6</f>
        <v>0</v>
      </c>
      <c r="G14" s="153">
        <f>(SUMIFS('Larvae Collection'!$R:$R, 'Larvae Collection'!$A:$A,'SPAWNING PLOTS-normalized'!$A14, 'Larvae Collection'!$D:$D, 'SPAWNING PLOTS-normalized'!G$3))/SUMMARIES!$M$7</f>
        <v>4511.1111111111113</v>
      </c>
      <c r="H14" s="153">
        <f>(SUMIFS('Larvae Collection'!$R:$R, 'Larvae Collection'!$A:$A,'SPAWNING PLOTS-normalized'!$A14, 'Larvae Collection'!$D:$D, 'SPAWNING PLOTS-normalized'!H$3))/SUMMARIES!$M$8</f>
        <v>0</v>
      </c>
      <c r="I14" s="153">
        <f>(SUMIFS('Larvae Collection'!$R:$R, 'Larvae Collection'!$A:$A,'SPAWNING PLOTS-normalized'!$A14, 'Larvae Collection'!$D:$D, 'SPAWNING PLOTS-normalized'!I$3))/SUMMARIES!$M$9</f>
        <v>1246.7208672086722</v>
      </c>
      <c r="J14" s="153">
        <f>(SUMIFS('Larvae Collection'!$R:$R, 'Larvae Collection'!$A:$A,'SPAWNING PLOTS-normalized'!$A14, 'Larvae Collection'!$D:$D, 'SPAWNING PLOTS-normalized'!J$3))/SUMMARIES!$M$10</f>
        <v>1505.0505050505053</v>
      </c>
      <c r="K14" s="153">
        <f>(SUMIFS('Larvae Collection'!$R:$R, 'Larvae Collection'!$A:$A,'SPAWNING PLOTS-normalized'!$A14, 'Larvae Collection'!$D:$D, 'SPAWNING PLOTS-normalized'!K$3))/SUMMARIES!$M$11</f>
        <v>415.38461538461536</v>
      </c>
      <c r="L14" s="153">
        <f>(SUMIFS('Larvae Collection'!$R:$R, 'Larvae Collection'!$A:$A,'SPAWNING PLOTS-normalized'!$A14, 'Larvae Collection'!$D:$D, 'SPAWNING PLOTS-normalized'!L$3))/SUMMARIES!$M$12</f>
        <v>2680</v>
      </c>
      <c r="M14" s="153">
        <f>(SUMIFS('Larvae Collection'!$R:$R, 'Larvae Collection'!$A:$A,'SPAWNING PLOTS-normalized'!$A14, 'Larvae Collection'!$D:$D, 'SPAWNING PLOTS-normalized'!M$3))/SUMMARIES!$M$13</f>
        <v>0</v>
      </c>
      <c r="N14" s="153">
        <f>(SUMIFS('Larvae Collection'!$R:$R, 'Larvae Collection'!$A:$A,'SPAWNING PLOTS-normalized'!$A14, 'Larvae Collection'!$D:$D, 'SPAWNING PLOTS-normalized'!N$3))/SUMMARIES!$M$14</f>
        <v>4081.212121212121</v>
      </c>
      <c r="O14" s="153">
        <f>(SUMIFS('Larvae Collection'!$R:$R, 'Larvae Collection'!$A:$A,'SPAWNING PLOTS-normalized'!$A14, 'Larvae Collection'!$D:$D, 'SPAWNING PLOTS-normalized'!O$3))/SUMMARIES!$M$15</f>
        <v>0</v>
      </c>
      <c r="P14" s="153">
        <f>(SUMIFS('Larvae Collection'!$R:$R, 'Larvae Collection'!$A:$A,'SPAWNING PLOTS-normalized'!$A14, 'Larvae Collection'!$D:$D, 'SPAWNING PLOTS-normalized'!P$3))/SUMMARIES!$M$16</f>
        <v>173.33333333333331</v>
      </c>
      <c r="Q14" s="153">
        <f>(SUMIFS('Larvae Collection'!$R:$R, 'Larvae Collection'!$A:$A,'SPAWNING PLOTS-normalized'!$A14, 'Larvae Collection'!$D:$D, 'SPAWNING PLOTS-normalized'!Q$3))/SUMMARIES!$M$17</f>
        <v>1493.3333333333333</v>
      </c>
      <c r="R14" s="151">
        <f t="shared" si="0"/>
        <v>18708.930555555555</v>
      </c>
      <c r="S14" s="151">
        <f t="shared" si="1"/>
        <v>18366.177777777775</v>
      </c>
      <c r="T14" s="151">
        <f t="shared" si="2"/>
        <v>9281.198198198199</v>
      </c>
      <c r="U14" s="151">
        <f t="shared" si="2"/>
        <v>4961.9887955182076</v>
      </c>
      <c r="V14" s="151">
        <f t="shared" si="2"/>
        <v>5755.0579150579142</v>
      </c>
      <c r="W14" s="151">
        <f t="shared" si="2"/>
        <v>12612.740740740741</v>
      </c>
      <c r="X14" s="151">
        <f t="shared" si="2"/>
        <v>15476.461538461539</v>
      </c>
      <c r="Y14" s="151">
        <f t="shared" si="2"/>
        <v>10245.59620596206</v>
      </c>
      <c r="Z14" s="151">
        <f t="shared" si="2"/>
        <v>9230.4646464646466</v>
      </c>
      <c r="AA14" s="151">
        <f t="shared" si="2"/>
        <v>8448.0341880341894</v>
      </c>
      <c r="AB14" s="151">
        <f t="shared" si="2"/>
        <v>9232.6315789473683</v>
      </c>
      <c r="AC14" s="151">
        <f t="shared" si="2"/>
        <v>1470.5128205128203</v>
      </c>
      <c r="AD14" s="151">
        <f t="shared" si="2"/>
        <v>16033.81818181818</v>
      </c>
      <c r="AE14" s="151">
        <f t="shared" si="2"/>
        <v>11031.191697191698</v>
      </c>
      <c r="AF14" s="151">
        <f t="shared" si="2"/>
        <v>5641.1851851851852</v>
      </c>
      <c r="AG14" s="151">
        <f t="shared" si="2"/>
        <v>11749.060846560847</v>
      </c>
    </row>
    <row r="15" spans="1:33" ht="19" x14ac:dyDescent="0.25">
      <c r="A15" s="150">
        <v>43200</v>
      </c>
      <c r="B15" s="153">
        <f>(SUMIFS('Larvae Collection'!$R:$R, 'Larvae Collection'!$A:$A,'SPAWNING PLOTS-normalized'!$A15, 'Larvae Collection'!$D:$D, 'SPAWNING PLOTS-normalized'!B$3))/SUMMARIES!$M$2</f>
        <v>80.952380952380963</v>
      </c>
      <c r="C15" s="153">
        <f>(SUMIFS('Larvae Collection'!$R:$R, 'Larvae Collection'!$A:$A,'SPAWNING PLOTS-normalized'!$A15, 'Larvae Collection'!$D:$D, 'SPAWNING PLOTS-normalized'!C$3))/SUMMARIES!$M$3</f>
        <v>0</v>
      </c>
      <c r="D15" s="153">
        <f>(SUMIFS('Larvae Collection'!$R:$R, 'Larvae Collection'!$A:$A,'SPAWNING PLOTS-normalized'!$A15, 'Larvae Collection'!$D:$D, 'SPAWNING PLOTS-normalized'!D$3))/SUMMARIES!$M$4</f>
        <v>0</v>
      </c>
      <c r="E15" s="153">
        <f>(SUMIFS('Larvae Collection'!$R:$R, 'Larvae Collection'!$A:$A,'SPAWNING PLOTS-normalized'!$A15, 'Larvae Collection'!$D:$D, 'SPAWNING PLOTS-normalized'!E$3))/SUMMARIES!$M$5</f>
        <v>1350.9803921568628</v>
      </c>
      <c r="F15" s="153">
        <f>(SUMIFS('Larvae Collection'!$R:$R, 'Larvae Collection'!$A:$A,'SPAWNING PLOTS-normalized'!$A15, 'Larvae Collection'!$D:$D, 'SPAWNING PLOTS-normalized'!F$3))/SUMMARIES!$M$6</f>
        <v>3828.8288288288286</v>
      </c>
      <c r="G15" s="153">
        <f>(SUMIFS('Larvae Collection'!$R:$R, 'Larvae Collection'!$A:$A,'SPAWNING PLOTS-normalized'!$A15, 'Larvae Collection'!$D:$D, 'SPAWNING PLOTS-normalized'!G$3))/SUMMARIES!$M$7</f>
        <v>188.14814814814818</v>
      </c>
      <c r="H15" s="153">
        <f>(SUMIFS('Larvae Collection'!$R:$R, 'Larvae Collection'!$A:$A,'SPAWNING PLOTS-normalized'!$A15, 'Larvae Collection'!$D:$D, 'SPAWNING PLOTS-normalized'!H$3))/SUMMARIES!$M$8</f>
        <v>0</v>
      </c>
      <c r="I15" s="153">
        <f>(SUMIFS('Larvae Collection'!$R:$R, 'Larvae Collection'!$A:$A,'SPAWNING PLOTS-normalized'!$A15, 'Larvae Collection'!$D:$D, 'SPAWNING PLOTS-normalized'!I$3))/SUMMARIES!$M$9</f>
        <v>0</v>
      </c>
      <c r="J15" s="153">
        <f>(SUMIFS('Larvae Collection'!$R:$R, 'Larvae Collection'!$A:$A,'SPAWNING PLOTS-normalized'!$A15, 'Larvae Collection'!$D:$D, 'SPAWNING PLOTS-normalized'!J$3))/SUMMARIES!$M$10</f>
        <v>1946.5319865319868</v>
      </c>
      <c r="K15" s="153">
        <f>(SUMIFS('Larvae Collection'!$R:$R, 'Larvae Collection'!$A:$A,'SPAWNING PLOTS-normalized'!$A15, 'Larvae Collection'!$D:$D, 'SPAWNING PLOTS-normalized'!K$3))/SUMMARIES!$M$11</f>
        <v>4710.2564102564093</v>
      </c>
      <c r="L15" s="153">
        <f>(SUMIFS('Larvae Collection'!$R:$R, 'Larvae Collection'!$A:$A,'SPAWNING PLOTS-normalized'!$A15, 'Larvae Collection'!$D:$D, 'SPAWNING PLOTS-normalized'!L$3))/SUMMARIES!$M$12</f>
        <v>1599.2982456140353</v>
      </c>
      <c r="M15" s="153">
        <f>(SUMIFS('Larvae Collection'!$R:$R, 'Larvae Collection'!$A:$A,'SPAWNING PLOTS-normalized'!$A15, 'Larvae Collection'!$D:$D, 'SPAWNING PLOTS-normalized'!M$3))/SUMMARIES!$M$13</f>
        <v>0</v>
      </c>
      <c r="N15" s="153">
        <f>(SUMIFS('Larvae Collection'!$R:$R, 'Larvae Collection'!$A:$A,'SPAWNING PLOTS-normalized'!$A15, 'Larvae Collection'!$D:$D, 'SPAWNING PLOTS-normalized'!N$3))/SUMMARIES!$M$14</f>
        <v>1995.9595959595963</v>
      </c>
      <c r="O15" s="153">
        <f>(SUMIFS('Larvae Collection'!$R:$R, 'Larvae Collection'!$A:$A,'SPAWNING PLOTS-normalized'!$A15, 'Larvae Collection'!$D:$D, 'SPAWNING PLOTS-normalized'!O$3))/SUMMARIES!$M$15</f>
        <v>0</v>
      </c>
      <c r="P15" s="153">
        <f>(SUMIFS('Larvae Collection'!$R:$R, 'Larvae Collection'!$A:$A,'SPAWNING PLOTS-normalized'!$A15, 'Larvae Collection'!$D:$D, 'SPAWNING PLOTS-normalized'!P$3))/SUMMARIES!$M$16</f>
        <v>0</v>
      </c>
      <c r="Q15" s="153">
        <f>(SUMIFS('Larvae Collection'!$R:$R, 'Larvae Collection'!$A:$A,'SPAWNING PLOTS-normalized'!$A15, 'Larvae Collection'!$D:$D, 'SPAWNING PLOTS-normalized'!Q$3))/SUMMARIES!$M$17</f>
        <v>4272.6984126984125</v>
      </c>
      <c r="R15" s="151">
        <f t="shared" si="0"/>
        <v>18789.882936507936</v>
      </c>
      <c r="S15" s="151">
        <f t="shared" si="1"/>
        <v>18366.177777777775</v>
      </c>
      <c r="T15" s="151">
        <f t="shared" si="2"/>
        <v>9281.198198198199</v>
      </c>
      <c r="U15" s="151">
        <f t="shared" si="2"/>
        <v>6312.9691876750703</v>
      </c>
      <c r="V15" s="151">
        <f t="shared" si="2"/>
        <v>9583.8867438867419</v>
      </c>
      <c r="W15" s="151">
        <f t="shared" si="2"/>
        <v>12800.888888888889</v>
      </c>
      <c r="X15" s="151">
        <f t="shared" si="2"/>
        <v>15476.461538461539</v>
      </c>
      <c r="Y15" s="151">
        <f t="shared" si="2"/>
        <v>10245.59620596206</v>
      </c>
      <c r="Z15" s="151">
        <f t="shared" si="2"/>
        <v>11176.996632996634</v>
      </c>
      <c r="AA15" s="151">
        <f t="shared" si="2"/>
        <v>13158.290598290598</v>
      </c>
      <c r="AB15" s="151">
        <f t="shared" si="2"/>
        <v>10831.929824561405</v>
      </c>
      <c r="AC15" s="151">
        <f t="shared" si="2"/>
        <v>1470.5128205128203</v>
      </c>
      <c r="AD15" s="151">
        <f t="shared" si="2"/>
        <v>18029.777777777777</v>
      </c>
      <c r="AE15" s="151">
        <f t="shared" si="2"/>
        <v>11031.191697191698</v>
      </c>
      <c r="AF15" s="151">
        <f t="shared" si="2"/>
        <v>5641.1851851851852</v>
      </c>
      <c r="AG15" s="151">
        <f t="shared" si="2"/>
        <v>16021.759259259259</v>
      </c>
    </row>
    <row r="16" spans="1:33" ht="19" x14ac:dyDescent="0.25">
      <c r="A16" s="150">
        <v>43201</v>
      </c>
      <c r="B16" s="153">
        <f>(SUMIFS('Larvae Collection'!$R:$R, 'Larvae Collection'!$A:$A,'SPAWNING PLOTS-normalized'!$A16, 'Larvae Collection'!$D:$D, 'SPAWNING PLOTS-normalized'!B$3))/SUMMARIES!$M$2</f>
        <v>0</v>
      </c>
      <c r="C16" s="153">
        <f>(SUMIFS('Larvae Collection'!$R:$R, 'Larvae Collection'!$A:$A,'SPAWNING PLOTS-normalized'!$A16, 'Larvae Collection'!$D:$D, 'SPAWNING PLOTS-normalized'!C$3))/SUMMARIES!$M$3</f>
        <v>0</v>
      </c>
      <c r="D16" s="153">
        <f>(SUMIFS('Larvae Collection'!$R:$R, 'Larvae Collection'!$A:$A,'SPAWNING PLOTS-normalized'!$A16, 'Larvae Collection'!$D:$D, 'SPAWNING PLOTS-normalized'!D$3))/SUMMARIES!$M$4</f>
        <v>0</v>
      </c>
      <c r="E16" s="153">
        <f>(SUMIFS('Larvae Collection'!$R:$R, 'Larvae Collection'!$A:$A,'SPAWNING PLOTS-normalized'!$A16, 'Larvae Collection'!$D:$D, 'SPAWNING PLOTS-normalized'!E$3))/SUMMARIES!$M$5</f>
        <v>0</v>
      </c>
      <c r="F16" s="153">
        <f>(SUMIFS('Larvae Collection'!$R:$R, 'Larvae Collection'!$A:$A,'SPAWNING PLOTS-normalized'!$A16, 'Larvae Collection'!$D:$D, 'SPAWNING PLOTS-normalized'!F$3))/SUMMARIES!$M$6</f>
        <v>0</v>
      </c>
      <c r="G16" s="153">
        <f>(SUMIFS('Larvae Collection'!$R:$R, 'Larvae Collection'!$A:$A,'SPAWNING PLOTS-normalized'!$A16, 'Larvae Collection'!$D:$D, 'SPAWNING PLOTS-normalized'!G$3))/SUMMARIES!$M$7</f>
        <v>0</v>
      </c>
      <c r="H16" s="153">
        <f>(SUMIFS('Larvae Collection'!$R:$R, 'Larvae Collection'!$A:$A,'SPAWNING PLOTS-normalized'!$A16, 'Larvae Collection'!$D:$D, 'SPAWNING PLOTS-normalized'!H$3))/SUMMARIES!$M$8</f>
        <v>777.43589743589746</v>
      </c>
      <c r="I16" s="153">
        <f>(SUMIFS('Larvae Collection'!$R:$R, 'Larvae Collection'!$A:$A,'SPAWNING PLOTS-normalized'!$A16, 'Larvae Collection'!$D:$D, 'SPAWNING PLOTS-normalized'!I$3))/SUMMARIES!$M$9</f>
        <v>544.97560975609758</v>
      </c>
      <c r="J16" s="153">
        <f>(SUMIFS('Larvae Collection'!$R:$R, 'Larvae Collection'!$A:$A,'SPAWNING PLOTS-normalized'!$A16, 'Larvae Collection'!$D:$D, 'SPAWNING PLOTS-normalized'!J$3))/SUMMARIES!$M$10</f>
        <v>0</v>
      </c>
      <c r="K16" s="153">
        <f>(SUMIFS('Larvae Collection'!$R:$R, 'Larvae Collection'!$A:$A,'SPAWNING PLOTS-normalized'!$A16, 'Larvae Collection'!$D:$D, 'SPAWNING PLOTS-normalized'!K$3))/SUMMARIES!$M$11</f>
        <v>0</v>
      </c>
      <c r="L16" s="153">
        <f>(SUMIFS('Larvae Collection'!$R:$R, 'Larvae Collection'!$A:$A,'SPAWNING PLOTS-normalized'!$A16, 'Larvae Collection'!$D:$D, 'SPAWNING PLOTS-normalized'!L$3))/SUMMARIES!$M$12</f>
        <v>0</v>
      </c>
      <c r="M16" s="153">
        <f>(SUMIFS('Larvae Collection'!$R:$R, 'Larvae Collection'!$A:$A,'SPAWNING PLOTS-normalized'!$A16, 'Larvae Collection'!$D:$D, 'SPAWNING PLOTS-normalized'!M$3))/SUMMARIES!$M$13</f>
        <v>0</v>
      </c>
      <c r="N16" s="153">
        <f>(SUMIFS('Larvae Collection'!$R:$R, 'Larvae Collection'!$A:$A,'SPAWNING PLOTS-normalized'!$A16, 'Larvae Collection'!$D:$D, 'SPAWNING PLOTS-normalized'!N$3))/SUMMARIES!$M$14</f>
        <v>0</v>
      </c>
      <c r="O16" s="153">
        <f>(SUMIFS('Larvae Collection'!$R:$R, 'Larvae Collection'!$A:$A,'SPAWNING PLOTS-normalized'!$A16, 'Larvae Collection'!$D:$D, 'SPAWNING PLOTS-normalized'!O$3))/SUMMARIES!$M$15</f>
        <v>0</v>
      </c>
      <c r="P16" s="153">
        <f>(SUMIFS('Larvae Collection'!$R:$R, 'Larvae Collection'!$A:$A,'SPAWNING PLOTS-normalized'!$A16, 'Larvae Collection'!$D:$D, 'SPAWNING PLOTS-normalized'!P$3))/SUMMARIES!$M$16</f>
        <v>0</v>
      </c>
      <c r="Q16" s="153">
        <f>(SUMIFS('Larvae Collection'!$R:$R, 'Larvae Collection'!$A:$A,'SPAWNING PLOTS-normalized'!$A16, 'Larvae Collection'!$D:$D, 'SPAWNING PLOTS-normalized'!Q$3))/SUMMARIES!$M$17</f>
        <v>369.84126984126988</v>
      </c>
      <c r="R16" s="151">
        <f t="shared" si="0"/>
        <v>18789.882936507936</v>
      </c>
      <c r="S16" s="151">
        <f t="shared" si="1"/>
        <v>18366.177777777775</v>
      </c>
      <c r="T16" s="151">
        <f t="shared" si="2"/>
        <v>9281.198198198199</v>
      </c>
      <c r="U16" s="151">
        <f t="shared" si="2"/>
        <v>6312.9691876750703</v>
      </c>
      <c r="V16" s="151">
        <f t="shared" si="2"/>
        <v>9583.8867438867419</v>
      </c>
      <c r="W16" s="151">
        <f t="shared" si="2"/>
        <v>12800.888888888889</v>
      </c>
      <c r="X16" s="151">
        <f t="shared" si="2"/>
        <v>16253.897435897437</v>
      </c>
      <c r="Y16" s="151">
        <f t="shared" si="2"/>
        <v>10790.571815718158</v>
      </c>
      <c r="Z16" s="151">
        <f t="shared" si="2"/>
        <v>11176.996632996634</v>
      </c>
      <c r="AA16" s="151">
        <f t="shared" si="2"/>
        <v>13158.290598290598</v>
      </c>
      <c r="AB16" s="151">
        <f t="shared" si="2"/>
        <v>10831.929824561405</v>
      </c>
      <c r="AC16" s="151">
        <f t="shared" si="2"/>
        <v>1470.5128205128203</v>
      </c>
      <c r="AD16" s="151">
        <f t="shared" si="2"/>
        <v>18029.777777777777</v>
      </c>
      <c r="AE16" s="151">
        <f t="shared" si="2"/>
        <v>11031.191697191698</v>
      </c>
      <c r="AF16" s="151">
        <f t="shared" si="2"/>
        <v>5641.1851851851852</v>
      </c>
      <c r="AG16" s="151">
        <f t="shared" si="2"/>
        <v>16391.600529100528</v>
      </c>
    </row>
    <row r="17" spans="1:33" ht="19" x14ac:dyDescent="0.25">
      <c r="A17" s="150">
        <v>43202</v>
      </c>
      <c r="B17" s="153">
        <f>(SUMIFS('Larvae Collection'!$R:$R, 'Larvae Collection'!$A:$A,'SPAWNING PLOTS-normalized'!$A17, 'Larvae Collection'!$D:$D, 'SPAWNING PLOTS-normalized'!B$3))/SUMMARIES!$M$2</f>
        <v>969.79166666666674</v>
      </c>
      <c r="C17" s="153">
        <f>(SUMIFS('Larvae Collection'!$R:$R, 'Larvae Collection'!$A:$A,'SPAWNING PLOTS-normalized'!$A17, 'Larvae Collection'!$D:$D, 'SPAWNING PLOTS-normalized'!C$3))/SUMMARIES!$M$3</f>
        <v>0</v>
      </c>
      <c r="D17" s="153">
        <f>(SUMIFS('Larvae Collection'!$R:$R, 'Larvae Collection'!$A:$A,'SPAWNING PLOTS-normalized'!$A17, 'Larvae Collection'!$D:$D, 'SPAWNING PLOTS-normalized'!D$3))/SUMMARIES!$M$4</f>
        <v>0</v>
      </c>
      <c r="E17" s="153">
        <f>(SUMIFS('Larvae Collection'!$R:$R, 'Larvae Collection'!$A:$A,'SPAWNING PLOTS-normalized'!$A17, 'Larvae Collection'!$D:$D, 'SPAWNING PLOTS-normalized'!E$3))/SUMMARIES!$M$5</f>
        <v>653.92156862745094</v>
      </c>
      <c r="F17" s="153">
        <f>(SUMIFS('Larvae Collection'!$R:$R, 'Larvae Collection'!$A:$A,'SPAWNING PLOTS-normalized'!$A17, 'Larvae Collection'!$D:$D, 'SPAWNING PLOTS-normalized'!F$3))/SUMMARIES!$M$6</f>
        <v>0</v>
      </c>
      <c r="G17" s="153">
        <f>(SUMIFS('Larvae Collection'!$R:$R, 'Larvae Collection'!$A:$A,'SPAWNING PLOTS-normalized'!$A17, 'Larvae Collection'!$D:$D, 'SPAWNING PLOTS-normalized'!G$3))/SUMMARIES!$M$7</f>
        <v>1165.493827160494</v>
      </c>
      <c r="H17" s="153">
        <f>(SUMIFS('Larvae Collection'!$R:$R, 'Larvae Collection'!$A:$A,'SPAWNING PLOTS-normalized'!$A17, 'Larvae Collection'!$D:$D, 'SPAWNING PLOTS-normalized'!H$3))/SUMMARIES!$M$8</f>
        <v>4740.1709401709395</v>
      </c>
      <c r="I17" s="153">
        <f>(SUMIFS('Larvae Collection'!$R:$R, 'Larvae Collection'!$A:$A,'SPAWNING PLOTS-normalized'!$A17, 'Larvae Collection'!$D:$D, 'SPAWNING PLOTS-normalized'!I$3))/SUMMARIES!$M$9</f>
        <v>0</v>
      </c>
      <c r="J17" s="153">
        <f>(SUMIFS('Larvae Collection'!$R:$R, 'Larvae Collection'!$A:$A,'SPAWNING PLOTS-normalized'!$A17, 'Larvae Collection'!$D:$D, 'SPAWNING PLOTS-normalized'!J$3))/SUMMARIES!$M$10</f>
        <v>0</v>
      </c>
      <c r="K17" s="153">
        <f>(SUMIFS('Larvae Collection'!$R:$R, 'Larvae Collection'!$A:$A,'SPAWNING PLOTS-normalized'!$A17, 'Larvae Collection'!$D:$D, 'SPAWNING PLOTS-normalized'!K$3))/SUMMARIES!$M$11</f>
        <v>0</v>
      </c>
      <c r="L17" s="153">
        <f>(SUMIFS('Larvae Collection'!$R:$R, 'Larvae Collection'!$A:$A,'SPAWNING PLOTS-normalized'!$A17, 'Larvae Collection'!$D:$D, 'SPAWNING PLOTS-normalized'!L$3))/SUMMARIES!$M$12</f>
        <v>0</v>
      </c>
      <c r="M17" s="153">
        <f>(SUMIFS('Larvae Collection'!$R:$R, 'Larvae Collection'!$A:$A,'SPAWNING PLOTS-normalized'!$A17, 'Larvae Collection'!$D:$D, 'SPAWNING PLOTS-normalized'!M$3))/SUMMARIES!$M$13</f>
        <v>0</v>
      </c>
      <c r="N17" s="153">
        <f>(SUMIFS('Larvae Collection'!$R:$R, 'Larvae Collection'!$A:$A,'SPAWNING PLOTS-normalized'!$A17, 'Larvae Collection'!$D:$D, 'SPAWNING PLOTS-normalized'!N$3))/SUMMARIES!$M$14</f>
        <v>114.47811447811449</v>
      </c>
      <c r="O17" s="153">
        <f>(SUMIFS('Larvae Collection'!$R:$R, 'Larvae Collection'!$A:$A,'SPAWNING PLOTS-normalized'!$A17, 'Larvae Collection'!$D:$D, 'SPAWNING PLOTS-normalized'!O$3))/SUMMARIES!$M$15</f>
        <v>0</v>
      </c>
      <c r="P17" s="153">
        <f>(SUMIFS('Larvae Collection'!$R:$R, 'Larvae Collection'!$A:$A,'SPAWNING PLOTS-normalized'!$A17, 'Larvae Collection'!$D:$D, 'SPAWNING PLOTS-normalized'!P$3))/SUMMARIES!$M$16</f>
        <v>0</v>
      </c>
      <c r="Q17" s="153">
        <f>(SUMIFS('Larvae Collection'!$R:$R, 'Larvae Collection'!$A:$A,'SPAWNING PLOTS-normalized'!$A17, 'Larvae Collection'!$D:$D, 'SPAWNING PLOTS-normalized'!Q$3))/SUMMARIES!$M$17</f>
        <v>0</v>
      </c>
      <c r="R17" s="151">
        <f t="shared" si="0"/>
        <v>19759.674603174604</v>
      </c>
      <c r="S17" s="151">
        <f t="shared" si="1"/>
        <v>18366.177777777775</v>
      </c>
      <c r="T17" s="151">
        <f t="shared" si="2"/>
        <v>9281.198198198199</v>
      </c>
      <c r="U17" s="151">
        <f t="shared" si="2"/>
        <v>6966.8907563025214</v>
      </c>
      <c r="V17" s="151">
        <f t="shared" si="2"/>
        <v>9583.8867438867419</v>
      </c>
      <c r="W17" s="151">
        <f t="shared" si="2"/>
        <v>13966.382716049382</v>
      </c>
      <c r="X17" s="151">
        <f t="shared" si="2"/>
        <v>20994.068376068375</v>
      </c>
      <c r="Y17" s="151">
        <f t="shared" si="2"/>
        <v>10790.571815718158</v>
      </c>
      <c r="Z17" s="151">
        <f t="shared" si="2"/>
        <v>11176.996632996634</v>
      </c>
      <c r="AA17" s="151">
        <f t="shared" si="2"/>
        <v>13158.290598290598</v>
      </c>
      <c r="AB17" s="151">
        <f t="shared" si="2"/>
        <v>10831.929824561405</v>
      </c>
      <c r="AC17" s="151">
        <f t="shared" si="2"/>
        <v>1470.5128205128203</v>
      </c>
      <c r="AD17" s="151">
        <f t="shared" si="2"/>
        <v>18144.255892255893</v>
      </c>
      <c r="AE17" s="151">
        <f t="shared" si="2"/>
        <v>11031.191697191698</v>
      </c>
      <c r="AF17" s="151">
        <f t="shared" si="2"/>
        <v>5641.1851851851852</v>
      </c>
      <c r="AG17" s="151">
        <f t="shared" si="2"/>
        <v>16391.600529100528</v>
      </c>
    </row>
    <row r="18" spans="1:33" ht="19" x14ac:dyDescent="0.25">
      <c r="A18" s="150">
        <v>43203</v>
      </c>
      <c r="B18" s="153">
        <f>(SUMIFS('Larvae Collection'!$R:$R, 'Larvae Collection'!$A:$A,'SPAWNING PLOTS-normalized'!$A18, 'Larvae Collection'!$D:$D, 'SPAWNING PLOTS-normalized'!B$3))/SUMMARIES!$M$2</f>
        <v>1710</v>
      </c>
      <c r="C18" s="153">
        <f>(SUMIFS('Larvae Collection'!$R:$R, 'Larvae Collection'!$A:$A,'SPAWNING PLOTS-normalized'!$A18, 'Larvae Collection'!$D:$D, 'SPAWNING PLOTS-normalized'!C$3))/SUMMARIES!$M$3</f>
        <v>0</v>
      </c>
      <c r="D18" s="153">
        <f>(SUMIFS('Larvae Collection'!$R:$R, 'Larvae Collection'!$A:$A,'SPAWNING PLOTS-normalized'!$A18, 'Larvae Collection'!$D:$D, 'SPAWNING PLOTS-normalized'!D$3))/SUMMARIES!$M$4</f>
        <v>2837.8378378378379</v>
      </c>
      <c r="E18" s="153">
        <f>(SUMIFS('Larvae Collection'!$R:$R, 'Larvae Collection'!$A:$A,'SPAWNING PLOTS-normalized'!$A18, 'Larvae Collection'!$D:$D, 'SPAWNING PLOTS-normalized'!E$3))/SUMMARIES!$M$5</f>
        <v>0</v>
      </c>
      <c r="F18" s="153">
        <f>(SUMIFS('Larvae Collection'!$R:$R, 'Larvae Collection'!$A:$A,'SPAWNING PLOTS-normalized'!$A18, 'Larvae Collection'!$D:$D, 'SPAWNING PLOTS-normalized'!F$3))/SUMMARIES!$M$6</f>
        <v>0</v>
      </c>
      <c r="G18" s="153">
        <f>(SUMIFS('Larvae Collection'!$R:$R, 'Larvae Collection'!$A:$A,'SPAWNING PLOTS-normalized'!$A18, 'Larvae Collection'!$D:$D, 'SPAWNING PLOTS-normalized'!G$3))/SUMMARIES!$M$7</f>
        <v>0</v>
      </c>
      <c r="H18" s="153">
        <f>(SUMIFS('Larvae Collection'!$R:$R, 'Larvae Collection'!$A:$A,'SPAWNING PLOTS-normalized'!$A18, 'Larvae Collection'!$D:$D, 'SPAWNING PLOTS-normalized'!H$3))/SUMMARIES!$M$8</f>
        <v>1161.5384615384614</v>
      </c>
      <c r="I18" s="153">
        <f>(SUMIFS('Larvae Collection'!$R:$R, 'Larvae Collection'!$A:$A,'SPAWNING PLOTS-normalized'!$A18, 'Larvae Collection'!$D:$D, 'SPAWNING PLOTS-normalized'!I$3))/SUMMARIES!$M$9</f>
        <v>0</v>
      </c>
      <c r="J18" s="153">
        <f>(SUMIFS('Larvae Collection'!$R:$R, 'Larvae Collection'!$A:$A,'SPAWNING PLOTS-normalized'!$A18, 'Larvae Collection'!$D:$D, 'SPAWNING PLOTS-normalized'!J$3))/SUMMARIES!$M$10</f>
        <v>0</v>
      </c>
      <c r="K18" s="153">
        <f>(SUMIFS('Larvae Collection'!$R:$R, 'Larvae Collection'!$A:$A,'SPAWNING PLOTS-normalized'!$A18, 'Larvae Collection'!$D:$D, 'SPAWNING PLOTS-normalized'!K$3))/SUMMARIES!$M$11</f>
        <v>3312.8205128205127</v>
      </c>
      <c r="L18" s="153">
        <f>(SUMIFS('Larvae Collection'!$R:$R, 'Larvae Collection'!$A:$A,'SPAWNING PLOTS-normalized'!$A18, 'Larvae Collection'!$D:$D, 'SPAWNING PLOTS-normalized'!L$3))/SUMMARIES!$M$12</f>
        <v>0</v>
      </c>
      <c r="M18" s="153">
        <f>(SUMIFS('Larvae Collection'!$R:$R, 'Larvae Collection'!$A:$A,'SPAWNING PLOTS-normalized'!$A18, 'Larvae Collection'!$D:$D, 'SPAWNING PLOTS-normalized'!M$3))/SUMMARIES!$M$13</f>
        <v>0</v>
      </c>
      <c r="N18" s="153">
        <f>(SUMIFS('Larvae Collection'!$R:$R, 'Larvae Collection'!$A:$A,'SPAWNING PLOTS-normalized'!$A18, 'Larvae Collection'!$D:$D, 'SPAWNING PLOTS-normalized'!N$3))/SUMMARIES!$M$14</f>
        <v>0</v>
      </c>
      <c r="O18" s="153">
        <f>(SUMIFS('Larvae Collection'!$R:$R, 'Larvae Collection'!$A:$A,'SPAWNING PLOTS-normalized'!$A18, 'Larvae Collection'!$D:$D, 'SPAWNING PLOTS-normalized'!O$3))/SUMMARIES!$M$15</f>
        <v>1307.6923076923076</v>
      </c>
      <c r="P18" s="153">
        <f>(SUMIFS('Larvae Collection'!$R:$R, 'Larvae Collection'!$A:$A,'SPAWNING PLOTS-normalized'!$A18, 'Larvae Collection'!$D:$D, 'SPAWNING PLOTS-normalized'!P$3))/SUMMARIES!$M$16</f>
        <v>886.66666666666663</v>
      </c>
      <c r="Q18" s="153">
        <f>(SUMIFS('Larvae Collection'!$R:$R, 'Larvae Collection'!$A:$A,'SPAWNING PLOTS-normalized'!$A18, 'Larvae Collection'!$D:$D, 'SPAWNING PLOTS-normalized'!Q$3))/SUMMARIES!$M$17</f>
        <v>460.51587301587301</v>
      </c>
      <c r="R18" s="151">
        <f t="shared" si="0"/>
        <v>21469.674603174604</v>
      </c>
      <c r="S18" s="151">
        <f t="shared" si="1"/>
        <v>18366.177777777775</v>
      </c>
      <c r="T18" s="151">
        <f t="shared" si="2"/>
        <v>12119.036036036037</v>
      </c>
      <c r="U18" s="151">
        <f t="shared" si="2"/>
        <v>6966.8907563025214</v>
      </c>
      <c r="V18" s="151">
        <f t="shared" si="2"/>
        <v>9583.8867438867419</v>
      </c>
      <c r="W18" s="151">
        <f t="shared" si="2"/>
        <v>13966.382716049382</v>
      </c>
      <c r="X18" s="151">
        <f t="shared" si="2"/>
        <v>22155.606837606836</v>
      </c>
      <c r="Y18" s="151">
        <f t="shared" si="2"/>
        <v>10790.571815718158</v>
      </c>
      <c r="Z18" s="151">
        <f t="shared" si="2"/>
        <v>11176.996632996634</v>
      </c>
      <c r="AA18" s="151">
        <f t="shared" si="2"/>
        <v>16471.111111111109</v>
      </c>
      <c r="AB18" s="151">
        <f t="shared" si="2"/>
        <v>10831.929824561405</v>
      </c>
      <c r="AC18" s="151">
        <f t="shared" si="2"/>
        <v>1470.5128205128203</v>
      </c>
      <c r="AD18" s="151">
        <f t="shared" si="2"/>
        <v>18144.255892255893</v>
      </c>
      <c r="AE18" s="151">
        <f t="shared" si="2"/>
        <v>12338.884004884007</v>
      </c>
      <c r="AF18" s="151">
        <f t="shared" si="2"/>
        <v>6527.8518518518522</v>
      </c>
      <c r="AG18" s="151">
        <f t="shared" si="2"/>
        <v>16852.1164021164</v>
      </c>
    </row>
    <row r="19" spans="1:33" ht="19" x14ac:dyDescent="0.25">
      <c r="A19" s="150">
        <v>43204</v>
      </c>
      <c r="B19" s="153">
        <f>(SUMIFS('Larvae Collection'!$R:$R, 'Larvae Collection'!$A:$A,'SPAWNING PLOTS-normalized'!$A19, 'Larvae Collection'!$D:$D, 'SPAWNING PLOTS-normalized'!B$3))/SUMMARIES!$M$2</f>
        <v>6573.3333333333339</v>
      </c>
      <c r="C19" s="153">
        <f>(SUMIFS('Larvae Collection'!$R:$R, 'Larvae Collection'!$A:$A,'SPAWNING PLOTS-normalized'!$A19, 'Larvae Collection'!$D:$D, 'SPAWNING PLOTS-normalized'!C$3))/SUMMARIES!$M$3</f>
        <v>1125.3333333333333</v>
      </c>
      <c r="D19" s="153">
        <f>(SUMIFS('Larvae Collection'!$R:$R, 'Larvae Collection'!$A:$A,'SPAWNING PLOTS-normalized'!$A19, 'Larvae Collection'!$D:$D, 'SPAWNING PLOTS-normalized'!D$3))/SUMMARIES!$M$4</f>
        <v>1904.3543543543544</v>
      </c>
      <c r="E19" s="153">
        <f>(SUMIFS('Larvae Collection'!$R:$R, 'Larvae Collection'!$A:$A,'SPAWNING PLOTS-normalized'!$A19, 'Larvae Collection'!$D:$D, 'SPAWNING PLOTS-normalized'!E$3))/SUMMARIES!$M$5</f>
        <v>0</v>
      </c>
      <c r="F19" s="153">
        <f>(SUMIFS('Larvae Collection'!$R:$R, 'Larvae Collection'!$A:$A,'SPAWNING PLOTS-normalized'!$A19, 'Larvae Collection'!$D:$D, 'SPAWNING PLOTS-normalized'!F$3))/SUMMARIES!$M$6</f>
        <v>0</v>
      </c>
      <c r="G19" s="153">
        <f>(SUMIFS('Larvae Collection'!$R:$R, 'Larvae Collection'!$A:$A,'SPAWNING PLOTS-normalized'!$A19, 'Larvae Collection'!$D:$D, 'SPAWNING PLOTS-normalized'!G$3))/SUMMARIES!$M$7</f>
        <v>0</v>
      </c>
      <c r="H19" s="153">
        <f>(SUMIFS('Larvae Collection'!$R:$R, 'Larvae Collection'!$A:$A,'SPAWNING PLOTS-normalized'!$A19, 'Larvae Collection'!$D:$D, 'SPAWNING PLOTS-normalized'!H$3))/SUMMARIES!$M$8</f>
        <v>0</v>
      </c>
      <c r="I19" s="153">
        <f>(SUMIFS('Larvae Collection'!$R:$R, 'Larvae Collection'!$A:$A,'SPAWNING PLOTS-normalized'!$A19, 'Larvae Collection'!$D:$D, 'SPAWNING PLOTS-normalized'!I$3))/SUMMARIES!$M$9</f>
        <v>0</v>
      </c>
      <c r="J19" s="153">
        <f>(SUMIFS('Larvae Collection'!$R:$R, 'Larvae Collection'!$A:$A,'SPAWNING PLOTS-normalized'!$A19, 'Larvae Collection'!$D:$D, 'SPAWNING PLOTS-normalized'!J$3))/SUMMARIES!$M$10</f>
        <v>6799.7979797979806</v>
      </c>
      <c r="K19" s="153">
        <f>(SUMIFS('Larvae Collection'!$R:$R, 'Larvae Collection'!$A:$A,'SPAWNING PLOTS-normalized'!$A19, 'Larvae Collection'!$D:$D, 'SPAWNING PLOTS-normalized'!K$3))/SUMMARIES!$M$11</f>
        <v>1912.8205128205129</v>
      </c>
      <c r="L19" s="153">
        <f>(SUMIFS('Larvae Collection'!$R:$R, 'Larvae Collection'!$A:$A,'SPAWNING PLOTS-normalized'!$A19, 'Larvae Collection'!$D:$D, 'SPAWNING PLOTS-normalized'!L$3))/SUMMARIES!$M$12</f>
        <v>992.69005847953224</v>
      </c>
      <c r="M19" s="153">
        <f>(SUMIFS('Larvae Collection'!$R:$R, 'Larvae Collection'!$A:$A,'SPAWNING PLOTS-normalized'!$A19, 'Larvae Collection'!$D:$D, 'SPAWNING PLOTS-normalized'!M$3))/SUMMARIES!$M$13</f>
        <v>0</v>
      </c>
      <c r="N19" s="153">
        <f>(SUMIFS('Larvae Collection'!$R:$R, 'Larvae Collection'!$A:$A,'SPAWNING PLOTS-normalized'!$A19, 'Larvae Collection'!$D:$D, 'SPAWNING PLOTS-normalized'!N$3))/SUMMARIES!$M$14</f>
        <v>0</v>
      </c>
      <c r="O19" s="153">
        <f>(SUMIFS('Larvae Collection'!$R:$R, 'Larvae Collection'!$A:$A,'SPAWNING PLOTS-normalized'!$A19, 'Larvae Collection'!$D:$D, 'SPAWNING PLOTS-normalized'!O$3))/SUMMARIES!$M$15</f>
        <v>532.76353276353279</v>
      </c>
      <c r="P19" s="153">
        <f>(SUMIFS('Larvae Collection'!$R:$R, 'Larvae Collection'!$A:$A,'SPAWNING PLOTS-normalized'!$A19, 'Larvae Collection'!$D:$D, 'SPAWNING PLOTS-normalized'!P$3))/SUMMARIES!$M$16</f>
        <v>0</v>
      </c>
      <c r="Q19" s="153">
        <f>(SUMIFS('Larvae Collection'!$R:$R, 'Larvae Collection'!$A:$A,'SPAWNING PLOTS-normalized'!$A19, 'Larvae Collection'!$D:$D, 'SPAWNING PLOTS-normalized'!Q$3))/SUMMARIES!$M$17</f>
        <v>0</v>
      </c>
      <c r="R19" s="151">
        <f t="shared" si="0"/>
        <v>28043.007936507936</v>
      </c>
      <c r="S19" s="151">
        <f t="shared" si="1"/>
        <v>19491.511111111107</v>
      </c>
      <c r="T19" s="151">
        <f t="shared" si="2"/>
        <v>14023.390390390392</v>
      </c>
      <c r="U19" s="151">
        <f t="shared" si="2"/>
        <v>6966.8907563025214</v>
      </c>
      <c r="V19" s="151">
        <f t="shared" si="2"/>
        <v>9583.8867438867419</v>
      </c>
      <c r="W19" s="151">
        <f t="shared" si="2"/>
        <v>13966.382716049382</v>
      </c>
      <c r="X19" s="151">
        <f t="shared" si="2"/>
        <v>22155.606837606836</v>
      </c>
      <c r="Y19" s="151">
        <f t="shared" si="2"/>
        <v>10790.571815718158</v>
      </c>
      <c r="Z19" s="151">
        <f t="shared" si="2"/>
        <v>17976.794612794612</v>
      </c>
      <c r="AA19" s="151">
        <f t="shared" si="2"/>
        <v>18383.931623931621</v>
      </c>
      <c r="AB19" s="151">
        <f t="shared" si="2"/>
        <v>11824.619883040938</v>
      </c>
      <c r="AC19" s="151">
        <f t="shared" si="2"/>
        <v>1470.5128205128203</v>
      </c>
      <c r="AD19" s="151">
        <f t="shared" si="2"/>
        <v>18144.255892255893</v>
      </c>
      <c r="AE19" s="151">
        <f t="shared" si="2"/>
        <v>12871.647537647539</v>
      </c>
      <c r="AF19" s="151">
        <f t="shared" si="2"/>
        <v>6527.8518518518522</v>
      </c>
      <c r="AG19" s="151">
        <f t="shared" si="2"/>
        <v>16852.1164021164</v>
      </c>
    </row>
    <row r="20" spans="1:33" ht="19" x14ac:dyDescent="0.25">
      <c r="A20" s="150">
        <v>43205</v>
      </c>
      <c r="B20" s="153">
        <f>(SUMIFS('Larvae Collection'!$R:$R, 'Larvae Collection'!$A:$A,'SPAWNING PLOTS-normalized'!$A20, 'Larvae Collection'!$D:$D, 'SPAWNING PLOTS-normalized'!B$3))/SUMMARIES!$Q$2</f>
        <v>0</v>
      </c>
      <c r="C20" s="153">
        <f>(SUMIFS('Larvae Collection'!$R:$R, 'Larvae Collection'!$A:$A,'SPAWNING PLOTS-normalized'!$A20, 'Larvae Collection'!$D:$D, 'SPAWNING PLOTS-normalized'!C$3))/SUMMARIES!$Q$3</f>
        <v>0</v>
      </c>
      <c r="D20" s="153">
        <f>(SUMIFS('Larvae Collection'!$R:$R, 'Larvae Collection'!$A:$A,'SPAWNING PLOTS-normalized'!$A20, 'Larvae Collection'!$D:$D, 'SPAWNING PLOTS-normalized'!D$3))/SUMMARIES!$Q$4</f>
        <v>3481.9459459459458</v>
      </c>
      <c r="E20" s="153">
        <f>(SUMIFS('Larvae Collection'!$R:$R, 'Larvae Collection'!$A:$A,'SPAWNING PLOTS-normalized'!$A20, 'Larvae Collection'!$D:$D, 'SPAWNING PLOTS-normalized'!E$3))/SUMMARIES!$Q$5</f>
        <v>0</v>
      </c>
      <c r="F20" s="153">
        <f>(SUMIFS('Larvae Collection'!$R:$R, 'Larvae Collection'!$A:$A,'SPAWNING PLOTS-normalized'!$A20, 'Larvae Collection'!$D:$D, 'SPAWNING PLOTS-normalized'!F$3))/SUMMARIES!$Q$6</f>
        <v>0</v>
      </c>
      <c r="G20" s="153">
        <f>(SUMIFS('Larvae Collection'!$R:$R, 'Larvae Collection'!$A:$A,'SPAWNING PLOTS-normalized'!$A20, 'Larvae Collection'!$D:$D, 'SPAWNING PLOTS-normalized'!G$3))/SUMMARIES!$Q$7</f>
        <v>2688.8888888888887</v>
      </c>
      <c r="H20" s="153">
        <f>(SUMIFS('Larvae Collection'!$R:$R, 'Larvae Collection'!$A:$A,'SPAWNING PLOTS-normalized'!$A20, 'Larvae Collection'!$D:$D, 'SPAWNING PLOTS-normalized'!H$3))/SUMMARIES!$Q$8</f>
        <v>1110.8156028368794</v>
      </c>
      <c r="I20" s="153">
        <f>(SUMIFS('Larvae Collection'!$R:$R, 'Larvae Collection'!$A:$A,'SPAWNING PLOTS-normalized'!$A20, 'Larvae Collection'!$D:$D, 'SPAWNING PLOTS-normalized'!I$3))/SUMMARIES!$Q$9</f>
        <v>0</v>
      </c>
      <c r="J20" s="153">
        <f>(SUMIFS('Larvae Collection'!$R:$R, 'Larvae Collection'!$A:$A,'SPAWNING PLOTS-normalized'!$A20, 'Larvae Collection'!$D:$D, 'SPAWNING PLOTS-normalized'!J$3))/SUMMARIES!$Q$10</f>
        <v>0</v>
      </c>
      <c r="K20" s="153">
        <f>(SUMIFS('Larvae Collection'!$R:$R, 'Larvae Collection'!$A:$A,'SPAWNING PLOTS-normalized'!$A20, 'Larvae Collection'!$D:$D, 'SPAWNING PLOTS-normalized'!K$3))/SUMMARIES!$Q$11</f>
        <v>0</v>
      </c>
      <c r="L20" s="153">
        <f>(SUMIFS('Larvae Collection'!$R:$R, 'Larvae Collection'!$A:$A,'SPAWNING PLOTS-normalized'!$A20, 'Larvae Collection'!$D:$D, 'SPAWNING PLOTS-normalized'!L$3))/SUMMARIES!$Q$12</f>
        <v>0</v>
      </c>
      <c r="M20" s="153">
        <f>(SUMIFS('Larvae Collection'!$R:$R, 'Larvae Collection'!$A:$A,'SPAWNING PLOTS-normalized'!$A20, 'Larvae Collection'!$D:$D, 'SPAWNING PLOTS-normalized'!M$3))/SUMMARIES!$Q$13</f>
        <v>4737.5384615384619</v>
      </c>
      <c r="N20" s="153">
        <f>(SUMIFS('Larvae Collection'!$R:$R, 'Larvae Collection'!$A:$A,'SPAWNING PLOTS-normalized'!$A20, 'Larvae Collection'!$D:$D, 'SPAWNING PLOTS-normalized'!N$3))/SUMMARIES!$Q$14</f>
        <v>0</v>
      </c>
      <c r="O20" s="153">
        <f>(SUMIFS('Larvae Collection'!$R:$R, 'Larvae Collection'!$A:$A,'SPAWNING PLOTS-normalized'!$A20, 'Larvae Collection'!$D:$D, 'SPAWNING PLOTS-normalized'!O$3))/SUMMARIES!$Q$15</f>
        <v>4338.4615384615381</v>
      </c>
      <c r="P20" s="153">
        <f>(SUMIFS('Larvae Collection'!$R:$R, 'Larvae Collection'!$A:$A,'SPAWNING PLOTS-normalized'!$A20, 'Larvae Collection'!$D:$D, 'SPAWNING PLOTS-normalized'!P$3))/SUMMARIES!$Q$16</f>
        <v>0</v>
      </c>
      <c r="Q20" s="153">
        <f>(SUMIFS('Larvae Collection'!$R:$R, 'Larvae Collection'!$A:$A,'SPAWNING PLOTS-normalized'!$A20, 'Larvae Collection'!$D:$D, 'SPAWNING PLOTS-normalized'!Q$3))/SUMMARIES!$Q$17</f>
        <v>873.84920634920627</v>
      </c>
      <c r="R20" s="151">
        <f t="shared" si="0"/>
        <v>28043.007936507936</v>
      </c>
      <c r="S20" s="151">
        <f t="shared" si="1"/>
        <v>19491.511111111107</v>
      </c>
      <c r="T20" s="151">
        <f t="shared" ref="T20:AG20" si="3">SUMIFS(D$4:D$31, $A$4:$A$31, "&lt;="&amp;$A20)</f>
        <v>17505.336336336339</v>
      </c>
      <c r="U20" s="151">
        <f t="shared" si="3"/>
        <v>6966.8907563025214</v>
      </c>
      <c r="V20" s="151">
        <f t="shared" si="3"/>
        <v>9583.8867438867419</v>
      </c>
      <c r="W20" s="151">
        <f t="shared" si="3"/>
        <v>16655.271604938273</v>
      </c>
      <c r="X20" s="151">
        <f t="shared" si="3"/>
        <v>23266.422440443715</v>
      </c>
      <c r="Y20" s="151">
        <f t="shared" si="3"/>
        <v>10790.571815718158</v>
      </c>
      <c r="Z20" s="151">
        <f t="shared" si="3"/>
        <v>17976.794612794612</v>
      </c>
      <c r="AA20" s="151">
        <f t="shared" si="3"/>
        <v>18383.931623931621</v>
      </c>
      <c r="AB20" s="151">
        <f t="shared" si="3"/>
        <v>11824.619883040938</v>
      </c>
      <c r="AC20" s="151">
        <f t="shared" si="3"/>
        <v>6208.0512820512822</v>
      </c>
      <c r="AD20" s="151">
        <f t="shared" si="3"/>
        <v>18144.255892255893</v>
      </c>
      <c r="AE20" s="151">
        <f t="shared" si="3"/>
        <v>17210.109076109078</v>
      </c>
      <c r="AF20" s="151">
        <f t="shared" si="3"/>
        <v>6527.8518518518522</v>
      </c>
      <c r="AG20" s="151">
        <f t="shared" si="3"/>
        <v>17725.965608465605</v>
      </c>
    </row>
    <row r="21" spans="1:33" ht="19" x14ac:dyDescent="0.25">
      <c r="A21" s="150">
        <v>43206</v>
      </c>
      <c r="B21" s="153">
        <f>(SUMIFS('Larvae Collection'!$R:$R, 'Larvae Collection'!$A:$A,'SPAWNING PLOTS-normalized'!$A21, 'Larvae Collection'!$D:$D, 'SPAWNING PLOTS-normalized'!B$3))/SUMMARIES!$Q$2</f>
        <v>0</v>
      </c>
      <c r="C21" s="153">
        <f>(SUMIFS('Larvae Collection'!$R:$R, 'Larvae Collection'!$A:$A,'SPAWNING PLOTS-normalized'!$A21, 'Larvae Collection'!$D:$D, 'SPAWNING PLOTS-normalized'!C$3))/SUMMARIES!$Q$3</f>
        <v>0</v>
      </c>
      <c r="D21" s="153">
        <f>(SUMIFS('Larvae Collection'!$R:$R, 'Larvae Collection'!$A:$A,'SPAWNING PLOTS-normalized'!$A21, 'Larvae Collection'!$D:$D, 'SPAWNING PLOTS-normalized'!D$3))/SUMMARIES!$Q$4</f>
        <v>0</v>
      </c>
      <c r="E21" s="153">
        <f>(SUMIFS('Larvae Collection'!$R:$R, 'Larvae Collection'!$A:$A,'SPAWNING PLOTS-normalized'!$A21, 'Larvae Collection'!$D:$D, 'SPAWNING PLOTS-normalized'!E$3))/SUMMARIES!$Q$5</f>
        <v>0</v>
      </c>
      <c r="F21" s="153">
        <f>(SUMIFS('Larvae Collection'!$R:$R, 'Larvae Collection'!$A:$A,'SPAWNING PLOTS-normalized'!$A21, 'Larvae Collection'!$D:$D, 'SPAWNING PLOTS-normalized'!F$3))/SUMMARIES!$Q$6</f>
        <v>0</v>
      </c>
      <c r="G21" s="153">
        <f>(SUMIFS('Larvae Collection'!$R:$R, 'Larvae Collection'!$A:$A,'SPAWNING PLOTS-normalized'!$A21, 'Larvae Collection'!$D:$D, 'SPAWNING PLOTS-normalized'!G$3))/SUMMARIES!$Q$7</f>
        <v>0</v>
      </c>
      <c r="H21" s="153">
        <f>(SUMIFS('Larvae Collection'!$R:$R, 'Larvae Collection'!$A:$A,'SPAWNING PLOTS-normalized'!$A21, 'Larvae Collection'!$D:$D, 'SPAWNING PLOTS-normalized'!H$3))/SUMMARIES!$Q$8</f>
        <v>0</v>
      </c>
      <c r="I21" s="153">
        <f>(SUMIFS('Larvae Collection'!$R:$R, 'Larvae Collection'!$A:$A,'SPAWNING PLOTS-normalized'!$A21, 'Larvae Collection'!$D:$D, 'SPAWNING PLOTS-normalized'!I$3))/SUMMARIES!$Q$9</f>
        <v>492.65582655826563</v>
      </c>
      <c r="J21" s="153">
        <f>(SUMIFS('Larvae Collection'!$R:$R, 'Larvae Collection'!$A:$A,'SPAWNING PLOTS-normalized'!$A21, 'Larvae Collection'!$D:$D, 'SPAWNING PLOTS-normalized'!J$3))/SUMMARIES!$Q$10</f>
        <v>0</v>
      </c>
      <c r="K21" s="153">
        <f>(SUMIFS('Larvae Collection'!$R:$R, 'Larvae Collection'!$A:$A,'SPAWNING PLOTS-normalized'!$A21, 'Larvae Collection'!$D:$D, 'SPAWNING PLOTS-normalized'!K$3))/SUMMARIES!$Q$11</f>
        <v>0</v>
      </c>
      <c r="L21" s="153">
        <f>(SUMIFS('Larvae Collection'!$R:$R, 'Larvae Collection'!$A:$A,'SPAWNING PLOTS-normalized'!$A21, 'Larvae Collection'!$D:$D, 'SPAWNING PLOTS-normalized'!L$3))/SUMMARIES!$Q$12</f>
        <v>1954.1666666666667</v>
      </c>
      <c r="M21" s="153">
        <f>(SUMIFS('Larvae Collection'!$R:$R, 'Larvae Collection'!$A:$A,'SPAWNING PLOTS-normalized'!$A21, 'Larvae Collection'!$D:$D, 'SPAWNING PLOTS-normalized'!M$3))/SUMMARIES!$Q$13</f>
        <v>91.34615384615384</v>
      </c>
      <c r="N21" s="153">
        <f>(SUMIFS('Larvae Collection'!$R:$R, 'Larvae Collection'!$A:$A,'SPAWNING PLOTS-normalized'!$A21, 'Larvae Collection'!$D:$D, 'SPAWNING PLOTS-normalized'!N$3))/SUMMARIES!$Q$14</f>
        <v>0</v>
      </c>
      <c r="O21" s="153">
        <f>(SUMIFS('Larvae Collection'!$R:$R, 'Larvae Collection'!$A:$A,'SPAWNING PLOTS-normalized'!$A21, 'Larvae Collection'!$D:$D, 'SPAWNING PLOTS-normalized'!O$3))/SUMMARIES!$Q$15</f>
        <v>0</v>
      </c>
      <c r="P21" s="153">
        <f>(SUMIFS('Larvae Collection'!$R:$R, 'Larvae Collection'!$A:$A,'SPAWNING PLOTS-normalized'!$A21, 'Larvae Collection'!$D:$D, 'SPAWNING PLOTS-normalized'!P$3))/SUMMARIES!$Q$16</f>
        <v>0</v>
      </c>
      <c r="Q21" s="153">
        <f>(SUMIFS('Larvae Collection'!$R:$R, 'Larvae Collection'!$A:$A,'SPAWNING PLOTS-normalized'!$A21, 'Larvae Collection'!$D:$D, 'SPAWNING PLOTS-normalized'!Q$3))/SUMMARIES!$Q$17</f>
        <v>0</v>
      </c>
      <c r="R21" s="151">
        <f t="shared" ref="R21:AG31" si="4">SUMIFS(B$4:B$31, $A$4:$A$31, "&lt;="&amp;$A21)</f>
        <v>28043.007936507936</v>
      </c>
      <c r="S21" s="151">
        <f t="shared" si="4"/>
        <v>19491.511111111107</v>
      </c>
      <c r="T21" s="151">
        <f t="shared" si="4"/>
        <v>17505.336336336339</v>
      </c>
      <c r="U21" s="151">
        <f t="shared" si="4"/>
        <v>6966.8907563025214</v>
      </c>
      <c r="V21" s="151">
        <f t="shared" si="4"/>
        <v>9583.8867438867419</v>
      </c>
      <c r="W21" s="151">
        <f t="shared" si="4"/>
        <v>16655.271604938273</v>
      </c>
      <c r="X21" s="151">
        <f t="shared" si="4"/>
        <v>23266.422440443715</v>
      </c>
      <c r="Y21" s="151">
        <f t="shared" si="4"/>
        <v>11283.227642276424</v>
      </c>
      <c r="Z21" s="151">
        <f t="shared" si="4"/>
        <v>17976.794612794612</v>
      </c>
      <c r="AA21" s="151">
        <f t="shared" si="4"/>
        <v>18383.931623931621</v>
      </c>
      <c r="AB21" s="151">
        <f t="shared" si="4"/>
        <v>13778.786549707604</v>
      </c>
      <c r="AC21" s="151">
        <f t="shared" si="4"/>
        <v>6299.3974358974365</v>
      </c>
      <c r="AD21" s="151">
        <f t="shared" si="4"/>
        <v>18144.255892255893</v>
      </c>
      <c r="AE21" s="151">
        <f t="shared" si="4"/>
        <v>17210.109076109078</v>
      </c>
      <c r="AF21" s="151">
        <f t="shared" si="4"/>
        <v>6527.8518518518522</v>
      </c>
      <c r="AG21" s="151">
        <f t="shared" si="4"/>
        <v>17725.965608465605</v>
      </c>
    </row>
    <row r="22" spans="1:33" ht="19" x14ac:dyDescent="0.25">
      <c r="A22" s="150">
        <v>43207</v>
      </c>
      <c r="B22" s="153">
        <f>(SUMIFS('Larvae Collection'!$R:$R, 'Larvae Collection'!$A:$A,'SPAWNING PLOTS-normalized'!$A22, 'Larvae Collection'!$D:$D, 'SPAWNING PLOTS-normalized'!B$3))/SUMMARIES!$Q$2</f>
        <v>0</v>
      </c>
      <c r="C22" s="153">
        <f>(SUMIFS('Larvae Collection'!$R:$R, 'Larvae Collection'!$A:$A,'SPAWNING PLOTS-normalized'!$A22, 'Larvae Collection'!$D:$D, 'SPAWNING PLOTS-normalized'!C$3))/SUMMARIES!$Q$3</f>
        <v>0</v>
      </c>
      <c r="D22" s="153">
        <f>(SUMIFS('Larvae Collection'!$R:$R, 'Larvae Collection'!$A:$A,'SPAWNING PLOTS-normalized'!$A22, 'Larvae Collection'!$D:$D, 'SPAWNING PLOTS-normalized'!D$3))/SUMMARIES!$Q$4</f>
        <v>0</v>
      </c>
      <c r="E22" s="153">
        <f>(SUMIFS('Larvae Collection'!$R:$R, 'Larvae Collection'!$A:$A,'SPAWNING PLOTS-normalized'!$A22, 'Larvae Collection'!$D:$D, 'SPAWNING PLOTS-normalized'!E$3))/SUMMARIES!$Q$5</f>
        <v>85.859943977591044</v>
      </c>
      <c r="F22" s="153">
        <f>(SUMIFS('Larvae Collection'!$R:$R, 'Larvae Collection'!$A:$A,'SPAWNING PLOTS-normalized'!$A22, 'Larvae Collection'!$D:$D, 'SPAWNING PLOTS-normalized'!F$3))/SUMMARIES!$Q$6</f>
        <v>0</v>
      </c>
      <c r="G22" s="153">
        <f>(SUMIFS('Larvae Collection'!$R:$R, 'Larvae Collection'!$A:$A,'SPAWNING PLOTS-normalized'!$A22, 'Larvae Collection'!$D:$D, 'SPAWNING PLOTS-normalized'!G$3))/SUMMARIES!$Q$7</f>
        <v>0</v>
      </c>
      <c r="H22" s="153">
        <f>(SUMIFS('Larvae Collection'!$R:$R, 'Larvae Collection'!$A:$A,'SPAWNING PLOTS-normalized'!$A22, 'Larvae Collection'!$D:$D, 'SPAWNING PLOTS-normalized'!H$3))/SUMMARIES!$Q$8</f>
        <v>0</v>
      </c>
      <c r="I22" s="153">
        <f>(SUMIFS('Larvae Collection'!$R:$R, 'Larvae Collection'!$A:$A,'SPAWNING PLOTS-normalized'!$A22, 'Larvae Collection'!$D:$D, 'SPAWNING PLOTS-normalized'!I$3))/SUMMARIES!$Q$9</f>
        <v>0</v>
      </c>
      <c r="J22" s="153">
        <f>(SUMIFS('Larvae Collection'!$R:$R, 'Larvae Collection'!$A:$A,'SPAWNING PLOTS-normalized'!$A22, 'Larvae Collection'!$D:$D, 'SPAWNING PLOTS-normalized'!J$3))/SUMMARIES!$Q$10</f>
        <v>157.40740740740739</v>
      </c>
      <c r="K22" s="153">
        <f>(SUMIFS('Larvae Collection'!$R:$R, 'Larvae Collection'!$A:$A,'SPAWNING PLOTS-normalized'!$A22, 'Larvae Collection'!$D:$D, 'SPAWNING PLOTS-normalized'!K$3))/SUMMARIES!$Q$11</f>
        <v>0</v>
      </c>
      <c r="L22" s="153">
        <f>(SUMIFS('Larvae Collection'!$R:$R, 'Larvae Collection'!$A:$A,'SPAWNING PLOTS-normalized'!$A22, 'Larvae Collection'!$D:$D, 'SPAWNING PLOTS-normalized'!L$3))/SUMMARIES!$Q$12</f>
        <v>0</v>
      </c>
      <c r="M22" s="153">
        <f>(SUMIFS('Larvae Collection'!$R:$R, 'Larvae Collection'!$A:$A,'SPAWNING PLOTS-normalized'!$A22, 'Larvae Collection'!$D:$D, 'SPAWNING PLOTS-normalized'!M$3))/SUMMARIES!$Q$13</f>
        <v>0</v>
      </c>
      <c r="N22" s="153">
        <f>(SUMIFS('Larvae Collection'!$R:$R, 'Larvae Collection'!$A:$A,'SPAWNING PLOTS-normalized'!$A22, 'Larvae Collection'!$D:$D, 'SPAWNING PLOTS-normalized'!N$3))/SUMMARIES!$Q$14</f>
        <v>0</v>
      </c>
      <c r="O22" s="153">
        <f>(SUMIFS('Larvae Collection'!$R:$R, 'Larvae Collection'!$A:$A,'SPAWNING PLOTS-normalized'!$A22, 'Larvae Collection'!$D:$D, 'SPAWNING PLOTS-normalized'!O$3))/SUMMARIES!$Q$15</f>
        <v>0</v>
      </c>
      <c r="P22" s="153">
        <f>(SUMIFS('Larvae Collection'!$R:$R, 'Larvae Collection'!$A:$A,'SPAWNING PLOTS-normalized'!$A22, 'Larvae Collection'!$D:$D, 'SPAWNING PLOTS-normalized'!P$3))/SUMMARIES!$Q$16</f>
        <v>0</v>
      </c>
      <c r="Q22" s="153">
        <f>(SUMIFS('Larvae Collection'!$R:$R, 'Larvae Collection'!$A:$A,'SPAWNING PLOTS-normalized'!$A22, 'Larvae Collection'!$D:$D, 'SPAWNING PLOTS-normalized'!Q$3))/SUMMARIES!$Q$17</f>
        <v>0</v>
      </c>
      <c r="R22" s="151">
        <f t="shared" si="4"/>
        <v>28043.007936507936</v>
      </c>
      <c r="S22" s="151">
        <f t="shared" si="4"/>
        <v>19491.511111111107</v>
      </c>
      <c r="T22" s="151">
        <f t="shared" si="4"/>
        <v>17505.336336336339</v>
      </c>
      <c r="U22" s="151">
        <f t="shared" si="4"/>
        <v>7052.7507002801121</v>
      </c>
      <c r="V22" s="151">
        <f t="shared" si="4"/>
        <v>9583.8867438867419</v>
      </c>
      <c r="W22" s="151">
        <f t="shared" si="4"/>
        <v>16655.271604938273</v>
      </c>
      <c r="X22" s="151">
        <f t="shared" si="4"/>
        <v>23266.422440443715</v>
      </c>
      <c r="Y22" s="151">
        <f t="shared" si="4"/>
        <v>11283.227642276424</v>
      </c>
      <c r="Z22" s="151">
        <f t="shared" si="4"/>
        <v>18134.202020202021</v>
      </c>
      <c r="AA22" s="151">
        <f t="shared" si="4"/>
        <v>18383.931623931621</v>
      </c>
      <c r="AB22" s="151">
        <f t="shared" si="4"/>
        <v>13778.786549707604</v>
      </c>
      <c r="AC22" s="151">
        <f t="shared" si="4"/>
        <v>6299.3974358974365</v>
      </c>
      <c r="AD22" s="151">
        <f t="shared" si="4"/>
        <v>18144.255892255893</v>
      </c>
      <c r="AE22" s="151">
        <f t="shared" si="4"/>
        <v>17210.109076109078</v>
      </c>
      <c r="AF22" s="151">
        <f t="shared" si="4"/>
        <v>6527.8518518518522</v>
      </c>
      <c r="AG22" s="151">
        <f t="shared" si="4"/>
        <v>17725.965608465605</v>
      </c>
    </row>
    <row r="23" spans="1:33" ht="19" x14ac:dyDescent="0.25">
      <c r="A23" s="150">
        <v>43208</v>
      </c>
      <c r="B23" s="153">
        <f>(SUMIFS('Larvae Collection'!$R:$R, 'Larvae Collection'!$A:$A,'SPAWNING PLOTS-normalized'!$A23, 'Larvae Collection'!$D:$D, 'SPAWNING PLOTS-normalized'!B$3))/SUMMARIES!$R$2</f>
        <v>342.58064516129031</v>
      </c>
      <c r="C23" s="153">
        <f>(SUMIFS('Larvae Collection'!$R:$R, 'Larvae Collection'!$A:$A,'SPAWNING PLOTS-normalized'!$A23, 'Larvae Collection'!$D:$D, 'SPAWNING PLOTS-normalized'!C$3))/SUMMARIES!$R$3</f>
        <v>0</v>
      </c>
      <c r="D23" s="153">
        <f>(SUMIFS('Larvae Collection'!$R:$R, 'Larvae Collection'!$A:$A,'SPAWNING PLOTS-normalized'!$A23, 'Larvae Collection'!$D:$D, 'SPAWNING PLOTS-normalized'!D$3))/SUMMARIES!$R$4</f>
        <v>0</v>
      </c>
      <c r="E23" s="153">
        <f>(SUMIFS('Larvae Collection'!$R:$R, 'Larvae Collection'!$A:$A,'SPAWNING PLOTS-normalized'!$A23, 'Larvae Collection'!$D:$D, 'SPAWNING PLOTS-normalized'!E$3))/SUMMARIES!$R$5</f>
        <v>0</v>
      </c>
      <c r="F23" s="153">
        <f>(SUMIFS('Larvae Collection'!$R:$R, 'Larvae Collection'!$A:$A,'SPAWNING PLOTS-normalized'!$A23, 'Larvae Collection'!$D:$D, 'SPAWNING PLOTS-normalized'!F$3))/SUMMARIES!$R$6</f>
        <v>0</v>
      </c>
      <c r="G23" s="153">
        <f>(SUMIFS('Larvae Collection'!$R:$R, 'Larvae Collection'!$A:$A,'SPAWNING PLOTS-normalized'!$A23, 'Larvae Collection'!$D:$D, 'SPAWNING PLOTS-normalized'!G$3))/SUMMARIES!$R$7</f>
        <v>0</v>
      </c>
      <c r="H23" s="153">
        <f>(SUMIFS('Larvae Collection'!$R:$R, 'Larvae Collection'!$A:$A,'SPAWNING PLOTS-normalized'!$A23, 'Larvae Collection'!$D:$D, 'SPAWNING PLOTS-normalized'!H$3))/SUMMARIES!$R$8</f>
        <v>0</v>
      </c>
      <c r="I23" s="153">
        <f>(SUMIFS('Larvae Collection'!$R:$R, 'Larvae Collection'!$A:$A,'SPAWNING PLOTS-normalized'!$A23, 'Larvae Collection'!$D:$D, 'SPAWNING PLOTS-normalized'!I$3))/SUMMARIES!$R$9</f>
        <v>1566.178861788618</v>
      </c>
      <c r="J23" s="153">
        <f>(SUMIFS('Larvae Collection'!$R:$R, 'Larvae Collection'!$A:$A,'SPAWNING PLOTS-normalized'!$A23, 'Larvae Collection'!$D:$D, 'SPAWNING PLOTS-normalized'!J$3))/SUMMARIES!$R$10</f>
        <v>683.00653594771245</v>
      </c>
      <c r="K23" s="153">
        <f>(SUMIFS('Larvae Collection'!$R:$R, 'Larvae Collection'!$A:$A,'SPAWNING PLOTS-normalized'!$A23, 'Larvae Collection'!$D:$D, 'SPAWNING PLOTS-normalized'!K$3))/SUMMARIES!$R$11</f>
        <v>0</v>
      </c>
      <c r="L23" s="153">
        <f>(SUMIFS('Larvae Collection'!$R:$R, 'Larvae Collection'!$A:$A,'SPAWNING PLOTS-normalized'!$A23, 'Larvae Collection'!$D:$D, 'SPAWNING PLOTS-normalized'!L$3))/SUMMARIES!$R$12</f>
        <v>0</v>
      </c>
      <c r="M23" s="153">
        <f>(SUMIFS('Larvae Collection'!$R:$R, 'Larvae Collection'!$A:$A,'SPAWNING PLOTS-normalized'!$A23, 'Larvae Collection'!$D:$D, 'SPAWNING PLOTS-normalized'!M$3))/SUMMARIES!$R$13</f>
        <v>0</v>
      </c>
      <c r="N23" s="153">
        <f>(SUMIFS('Larvae Collection'!$R:$R, 'Larvae Collection'!$A:$A,'SPAWNING PLOTS-normalized'!$A23, 'Larvae Collection'!$D:$D, 'SPAWNING PLOTS-normalized'!N$3))/SUMMARIES!$R$14</f>
        <v>0</v>
      </c>
      <c r="O23" s="153">
        <f>(SUMIFS('Larvae Collection'!$R:$R, 'Larvae Collection'!$A:$A,'SPAWNING PLOTS-normalized'!$A23, 'Larvae Collection'!$D:$D, 'SPAWNING PLOTS-normalized'!O$3))/SUMMARIES!$R$15</f>
        <v>169.02564102564102</v>
      </c>
      <c r="P23" s="153">
        <f>(SUMIFS('Larvae Collection'!$R:$R, 'Larvae Collection'!$A:$A,'SPAWNING PLOTS-normalized'!$A23, 'Larvae Collection'!$D:$D, 'SPAWNING PLOTS-normalized'!P$3))/SUMMARIES!$R$16</f>
        <v>104.44444444444444</v>
      </c>
      <c r="Q23" s="153">
        <f>(SUMIFS('Larvae Collection'!$R:$R, 'Larvae Collection'!$A:$A,'SPAWNING PLOTS-normalized'!$A23, 'Larvae Collection'!$D:$D, 'SPAWNING PLOTS-normalized'!Q$3))/SUMMARIES!$R$17</f>
        <v>745.71428571428567</v>
      </c>
      <c r="R23" s="151">
        <f t="shared" si="4"/>
        <v>28385.588581669228</v>
      </c>
      <c r="S23" s="151">
        <f t="shared" si="4"/>
        <v>19491.511111111107</v>
      </c>
      <c r="T23" s="151">
        <f t="shared" si="4"/>
        <v>17505.336336336339</v>
      </c>
      <c r="U23" s="151">
        <f t="shared" si="4"/>
        <v>7052.7507002801121</v>
      </c>
      <c r="V23" s="151">
        <f t="shared" si="4"/>
        <v>9583.8867438867419</v>
      </c>
      <c r="W23" s="151">
        <f t="shared" si="4"/>
        <v>16655.271604938273</v>
      </c>
      <c r="X23" s="151">
        <f t="shared" si="4"/>
        <v>23266.422440443715</v>
      </c>
      <c r="Y23" s="151">
        <f t="shared" si="4"/>
        <v>12849.406504065042</v>
      </c>
      <c r="Z23" s="151">
        <f t="shared" si="4"/>
        <v>18817.208556149733</v>
      </c>
      <c r="AA23" s="151">
        <f t="shared" si="4"/>
        <v>18383.931623931621</v>
      </c>
      <c r="AB23" s="151">
        <f t="shared" si="4"/>
        <v>13778.786549707604</v>
      </c>
      <c r="AC23" s="151">
        <f t="shared" si="4"/>
        <v>6299.3974358974365</v>
      </c>
      <c r="AD23" s="151">
        <f t="shared" si="4"/>
        <v>18144.255892255893</v>
      </c>
      <c r="AE23" s="151">
        <f t="shared" si="4"/>
        <v>17379.134717134719</v>
      </c>
      <c r="AF23" s="151">
        <f t="shared" si="4"/>
        <v>6632.2962962962965</v>
      </c>
      <c r="AG23" s="151">
        <f t="shared" si="4"/>
        <v>18471.679894179892</v>
      </c>
    </row>
    <row r="24" spans="1:33" ht="19" x14ac:dyDescent="0.25">
      <c r="A24" s="150">
        <v>43209</v>
      </c>
      <c r="B24" s="153">
        <f>(SUMIFS('Larvae Collection'!$R:$R, 'Larvae Collection'!$A:$A,'SPAWNING PLOTS-normalized'!$A24, 'Larvae Collection'!$D:$D, 'SPAWNING PLOTS-normalized'!B$3))/SUMMARIES!$R$2</f>
        <v>0</v>
      </c>
      <c r="C24" s="153">
        <f>(SUMIFS('Larvae Collection'!$R:$R, 'Larvae Collection'!$A:$A,'SPAWNING PLOTS-normalized'!$A24, 'Larvae Collection'!$D:$D, 'SPAWNING PLOTS-normalized'!C$3))/SUMMARIES!$R$3</f>
        <v>0</v>
      </c>
      <c r="D24" s="153">
        <f>(SUMIFS('Larvae Collection'!$R:$R, 'Larvae Collection'!$A:$A,'SPAWNING PLOTS-normalized'!$A24, 'Larvae Collection'!$D:$D, 'SPAWNING PLOTS-normalized'!D$3))/SUMMARIES!$R$4</f>
        <v>0</v>
      </c>
      <c r="E24" s="153">
        <f>(SUMIFS('Larvae Collection'!$R:$R, 'Larvae Collection'!$A:$A,'SPAWNING PLOTS-normalized'!$A24, 'Larvae Collection'!$D:$D, 'SPAWNING PLOTS-normalized'!E$3))/SUMMARIES!$R$5</f>
        <v>0</v>
      </c>
      <c r="F24" s="153">
        <f>(SUMIFS('Larvae Collection'!$R:$R, 'Larvae Collection'!$A:$A,'SPAWNING PLOTS-normalized'!$A24, 'Larvae Collection'!$D:$D, 'SPAWNING PLOTS-normalized'!F$3))/SUMMARIES!$R$6</f>
        <v>542.34234234234236</v>
      </c>
      <c r="G24" s="153">
        <f>(SUMIFS('Larvae Collection'!$R:$R, 'Larvae Collection'!$A:$A,'SPAWNING PLOTS-normalized'!$A24, 'Larvae Collection'!$D:$D, 'SPAWNING PLOTS-normalized'!G$3))/SUMMARIES!$R$7</f>
        <v>0</v>
      </c>
      <c r="H24" s="153">
        <f>(SUMIFS('Larvae Collection'!$R:$R, 'Larvae Collection'!$A:$A,'SPAWNING PLOTS-normalized'!$A24, 'Larvae Collection'!$D:$D, 'SPAWNING PLOTS-normalized'!H$3))/SUMMARIES!$R$8</f>
        <v>0</v>
      </c>
      <c r="I24" s="153">
        <f>(SUMIFS('Larvae Collection'!$R:$R, 'Larvae Collection'!$A:$A,'SPAWNING PLOTS-normalized'!$A24, 'Larvae Collection'!$D:$D, 'SPAWNING PLOTS-normalized'!I$3))/SUMMARIES!$R$9</f>
        <v>0</v>
      </c>
      <c r="J24" s="153">
        <f>(SUMIFS('Larvae Collection'!$R:$R, 'Larvae Collection'!$A:$A,'SPAWNING PLOTS-normalized'!$A24, 'Larvae Collection'!$D:$D, 'SPAWNING PLOTS-normalized'!J$3))/SUMMARIES!$R$10</f>
        <v>0</v>
      </c>
      <c r="K24" s="153">
        <f>(SUMIFS('Larvae Collection'!$R:$R, 'Larvae Collection'!$A:$A,'SPAWNING PLOTS-normalized'!$A24, 'Larvae Collection'!$D:$D, 'SPAWNING PLOTS-normalized'!K$3))/SUMMARIES!$R$11</f>
        <v>567.17948717948718</v>
      </c>
      <c r="L24" s="153">
        <f>(SUMIFS('Larvae Collection'!$R:$R, 'Larvae Collection'!$A:$A,'SPAWNING PLOTS-normalized'!$A24, 'Larvae Collection'!$D:$D, 'SPAWNING PLOTS-normalized'!L$3))/SUMMARIES!$R$12</f>
        <v>0</v>
      </c>
      <c r="M24" s="153">
        <f>(SUMIFS('Larvae Collection'!$R:$R, 'Larvae Collection'!$A:$A,'SPAWNING PLOTS-normalized'!$A24, 'Larvae Collection'!$D:$D, 'SPAWNING PLOTS-normalized'!M$3))/SUMMARIES!$R$13</f>
        <v>3405.1282051282051</v>
      </c>
      <c r="N24" s="153">
        <f>(SUMIFS('Larvae Collection'!$R:$R, 'Larvae Collection'!$A:$A,'SPAWNING PLOTS-normalized'!$A24, 'Larvae Collection'!$D:$D, 'SPAWNING PLOTS-normalized'!N$3))/SUMMARIES!$R$14</f>
        <v>0</v>
      </c>
      <c r="O24" s="153">
        <f>(SUMIFS('Larvae Collection'!$R:$R, 'Larvae Collection'!$A:$A,'SPAWNING PLOTS-normalized'!$A24, 'Larvae Collection'!$D:$D, 'SPAWNING PLOTS-normalized'!O$3))/SUMMARIES!$R$15</f>
        <v>0</v>
      </c>
      <c r="P24" s="153">
        <f>(SUMIFS('Larvae Collection'!$R:$R, 'Larvae Collection'!$A:$A,'SPAWNING PLOTS-normalized'!$A24, 'Larvae Collection'!$D:$D, 'SPAWNING PLOTS-normalized'!P$3))/SUMMARIES!$R$16</f>
        <v>1730.3703703703704</v>
      </c>
      <c r="Q24" s="153">
        <f>(SUMIFS('Larvae Collection'!$R:$R, 'Larvae Collection'!$A:$A,'SPAWNING PLOTS-normalized'!$A24, 'Larvae Collection'!$D:$D, 'SPAWNING PLOTS-normalized'!Q$3))/SUMMARIES!$R$17</f>
        <v>0</v>
      </c>
      <c r="R24" s="151">
        <f t="shared" si="4"/>
        <v>28385.588581669228</v>
      </c>
      <c r="S24" s="151">
        <f t="shared" si="4"/>
        <v>19491.511111111107</v>
      </c>
      <c r="T24" s="151">
        <f t="shared" si="4"/>
        <v>17505.336336336339</v>
      </c>
      <c r="U24" s="151">
        <f t="shared" si="4"/>
        <v>7052.7507002801121</v>
      </c>
      <c r="V24" s="151">
        <f t="shared" si="4"/>
        <v>10126.229086229085</v>
      </c>
      <c r="W24" s="151">
        <f t="shared" si="4"/>
        <v>16655.271604938273</v>
      </c>
      <c r="X24" s="151">
        <f t="shared" si="4"/>
        <v>23266.422440443715</v>
      </c>
      <c r="Y24" s="151">
        <f t="shared" si="4"/>
        <v>12849.406504065042</v>
      </c>
      <c r="Z24" s="151">
        <f t="shared" si="4"/>
        <v>18817.208556149733</v>
      </c>
      <c r="AA24" s="151">
        <f t="shared" si="4"/>
        <v>18951.111111111109</v>
      </c>
      <c r="AB24" s="151">
        <f t="shared" si="4"/>
        <v>13778.786549707604</v>
      </c>
      <c r="AC24" s="151">
        <f t="shared" si="4"/>
        <v>9704.5256410256407</v>
      </c>
      <c r="AD24" s="151">
        <f t="shared" si="4"/>
        <v>18144.255892255893</v>
      </c>
      <c r="AE24" s="151">
        <f t="shared" si="4"/>
        <v>17379.134717134719</v>
      </c>
      <c r="AF24" s="151">
        <f t="shared" si="4"/>
        <v>8362.6666666666679</v>
      </c>
      <c r="AG24" s="151">
        <f t="shared" si="4"/>
        <v>18471.679894179892</v>
      </c>
    </row>
    <row r="25" spans="1:33" ht="19" x14ac:dyDescent="0.25">
      <c r="A25" s="150">
        <v>43210</v>
      </c>
      <c r="B25" s="153">
        <f>(SUMIFS('Larvae Collection'!$R:$R, 'Larvae Collection'!$A:$A,'SPAWNING PLOTS-normalized'!$A25, 'Larvae Collection'!$D:$D, 'SPAWNING PLOTS-normalized'!B$3))/SUMMARIES!$R$2</f>
        <v>1100.8064516129032</v>
      </c>
      <c r="C25" s="153">
        <f>(SUMIFS('Larvae Collection'!$R:$R, 'Larvae Collection'!$A:$A,'SPAWNING PLOTS-normalized'!$A25, 'Larvae Collection'!$D:$D, 'SPAWNING PLOTS-normalized'!C$3))/SUMMARIES!$R$3</f>
        <v>0</v>
      </c>
      <c r="D25" s="153">
        <f>(SUMIFS('Larvae Collection'!$R:$R, 'Larvae Collection'!$A:$A,'SPAWNING PLOTS-normalized'!$A25, 'Larvae Collection'!$D:$D, 'SPAWNING PLOTS-normalized'!D$3))/SUMMARIES!$R$4</f>
        <v>0</v>
      </c>
      <c r="E25" s="153">
        <f>(SUMIFS('Larvae Collection'!$R:$R, 'Larvae Collection'!$A:$A,'SPAWNING PLOTS-normalized'!$A25, 'Larvae Collection'!$D:$D, 'SPAWNING PLOTS-normalized'!E$3))/SUMMARIES!$R$5</f>
        <v>0</v>
      </c>
      <c r="F25" s="153">
        <f>(SUMIFS('Larvae Collection'!$R:$R, 'Larvae Collection'!$A:$A,'SPAWNING PLOTS-normalized'!$A25, 'Larvae Collection'!$D:$D, 'SPAWNING PLOTS-normalized'!F$3))/SUMMARIES!$R$6</f>
        <v>192.01201201201204</v>
      </c>
      <c r="G25" s="153">
        <f>(SUMIFS('Larvae Collection'!$R:$R, 'Larvae Collection'!$A:$A,'SPAWNING PLOTS-normalized'!$A25, 'Larvae Collection'!$D:$D, 'SPAWNING PLOTS-normalized'!G$3))/SUMMARIES!$R$7</f>
        <v>2361.8055555555557</v>
      </c>
      <c r="H25" s="153">
        <f>(SUMIFS('Larvae Collection'!$R:$R, 'Larvae Collection'!$A:$A,'SPAWNING PLOTS-normalized'!$A25, 'Larvae Collection'!$D:$D, 'SPAWNING PLOTS-normalized'!H$3))/SUMMARIES!$R$8</f>
        <v>643.61702127659578</v>
      </c>
      <c r="I25" s="153">
        <f>(SUMIFS('Larvae Collection'!$R:$R, 'Larvae Collection'!$A:$A,'SPAWNING PLOTS-normalized'!$A25, 'Larvae Collection'!$D:$D, 'SPAWNING PLOTS-normalized'!I$3))/SUMMARIES!$R$9</f>
        <v>0</v>
      </c>
      <c r="J25" s="153">
        <f>(SUMIFS('Larvae Collection'!$R:$R, 'Larvae Collection'!$A:$A,'SPAWNING PLOTS-normalized'!$A25, 'Larvae Collection'!$D:$D, 'SPAWNING PLOTS-normalized'!J$3))/SUMMARIES!$R$10</f>
        <v>0</v>
      </c>
      <c r="K25" s="153">
        <f>(SUMIFS('Larvae Collection'!$R:$R, 'Larvae Collection'!$A:$A,'SPAWNING PLOTS-normalized'!$A25, 'Larvae Collection'!$D:$D, 'SPAWNING PLOTS-normalized'!K$3))/SUMMARIES!$R$11</f>
        <v>0</v>
      </c>
      <c r="L25" s="153">
        <f>(SUMIFS('Larvae Collection'!$R:$R, 'Larvae Collection'!$A:$A,'SPAWNING PLOTS-normalized'!$A25, 'Larvae Collection'!$D:$D, 'SPAWNING PLOTS-normalized'!L$3))/SUMMARIES!$R$12</f>
        <v>4907.894736842105</v>
      </c>
      <c r="M25" s="153">
        <f>(SUMIFS('Larvae Collection'!$R:$R, 'Larvae Collection'!$A:$A,'SPAWNING PLOTS-normalized'!$A25, 'Larvae Collection'!$D:$D, 'SPAWNING PLOTS-normalized'!M$3))/SUMMARIES!$R$13</f>
        <v>0</v>
      </c>
      <c r="N25" s="153">
        <f>(SUMIFS('Larvae Collection'!$R:$R, 'Larvae Collection'!$A:$A,'SPAWNING PLOTS-normalized'!$A25, 'Larvae Collection'!$D:$D, 'SPAWNING PLOTS-normalized'!N$3))/SUMMARIES!$R$14</f>
        <v>0</v>
      </c>
      <c r="O25" s="153">
        <f>(SUMIFS('Larvae Collection'!$R:$R, 'Larvae Collection'!$A:$A,'SPAWNING PLOTS-normalized'!$A25, 'Larvae Collection'!$D:$D, 'SPAWNING PLOTS-normalized'!O$3))/SUMMARIES!$R$15</f>
        <v>0</v>
      </c>
      <c r="P25" s="153">
        <f>(SUMIFS('Larvae Collection'!$R:$R, 'Larvae Collection'!$A:$A,'SPAWNING PLOTS-normalized'!$A25, 'Larvae Collection'!$D:$D, 'SPAWNING PLOTS-normalized'!P$3))/SUMMARIES!$R$16</f>
        <v>3010</v>
      </c>
      <c r="Q25" s="153">
        <f>(SUMIFS('Larvae Collection'!$R:$R, 'Larvae Collection'!$A:$A,'SPAWNING PLOTS-normalized'!$A25, 'Larvae Collection'!$D:$D, 'SPAWNING PLOTS-normalized'!Q$3))/SUMMARIES!$R$17</f>
        <v>0</v>
      </c>
      <c r="R25" s="151">
        <f t="shared" si="4"/>
        <v>29486.39503328213</v>
      </c>
      <c r="S25" s="151">
        <f t="shared" si="4"/>
        <v>19491.511111111107</v>
      </c>
      <c r="T25" s="151">
        <f t="shared" si="4"/>
        <v>17505.336336336339</v>
      </c>
      <c r="U25" s="151">
        <f t="shared" si="4"/>
        <v>7052.7507002801121</v>
      </c>
      <c r="V25" s="151">
        <f t="shared" si="4"/>
        <v>10318.241098241097</v>
      </c>
      <c r="W25" s="151">
        <f t="shared" si="4"/>
        <v>19017.077160493827</v>
      </c>
      <c r="X25" s="151">
        <f t="shared" si="4"/>
        <v>23910.039461720313</v>
      </c>
      <c r="Y25" s="151">
        <f t="shared" si="4"/>
        <v>12849.406504065042</v>
      </c>
      <c r="Z25" s="151">
        <f t="shared" si="4"/>
        <v>18817.208556149733</v>
      </c>
      <c r="AA25" s="151">
        <f t="shared" si="4"/>
        <v>18951.111111111109</v>
      </c>
      <c r="AB25" s="151">
        <f t="shared" si="4"/>
        <v>18686.681286549709</v>
      </c>
      <c r="AC25" s="151">
        <f t="shared" si="4"/>
        <v>9704.5256410256407</v>
      </c>
      <c r="AD25" s="151">
        <f t="shared" si="4"/>
        <v>18144.255892255893</v>
      </c>
      <c r="AE25" s="151">
        <f t="shared" si="4"/>
        <v>17379.134717134719</v>
      </c>
      <c r="AF25" s="151">
        <f t="shared" si="4"/>
        <v>11372.666666666668</v>
      </c>
      <c r="AG25" s="151">
        <f t="shared" si="4"/>
        <v>18471.679894179892</v>
      </c>
    </row>
    <row r="26" spans="1:33" ht="19" x14ac:dyDescent="0.25">
      <c r="A26" s="150">
        <v>43211</v>
      </c>
      <c r="B26" s="153">
        <f>(SUMIFS('Larvae Collection'!$R:$R, 'Larvae Collection'!$A:$A,'SPAWNING PLOTS-normalized'!$A26, 'Larvae Collection'!$D:$D, 'SPAWNING PLOTS-normalized'!B$3))/SUMMARIES!$R$2</f>
        <v>6569.8924731182788</v>
      </c>
      <c r="C26" s="153">
        <f>(SUMIFS('Larvae Collection'!$R:$R, 'Larvae Collection'!$A:$A,'SPAWNING PLOTS-normalized'!$A26, 'Larvae Collection'!$D:$D, 'SPAWNING PLOTS-normalized'!C$3))/SUMMARIES!$R$3</f>
        <v>0</v>
      </c>
      <c r="D26" s="153">
        <f>(SUMIFS('Larvae Collection'!$R:$R, 'Larvae Collection'!$A:$A,'SPAWNING PLOTS-normalized'!$A26, 'Larvae Collection'!$D:$D, 'SPAWNING PLOTS-normalized'!D$3))/SUMMARIES!$R$4</f>
        <v>0</v>
      </c>
      <c r="E26" s="153">
        <f>(SUMIFS('Larvae Collection'!$R:$R, 'Larvae Collection'!$A:$A,'SPAWNING PLOTS-normalized'!$A26, 'Larvae Collection'!$D:$D, 'SPAWNING PLOTS-normalized'!E$3))/SUMMARIES!$R$5</f>
        <v>0</v>
      </c>
      <c r="F26" s="153">
        <f>(SUMIFS('Larvae Collection'!$R:$R, 'Larvae Collection'!$A:$A,'SPAWNING PLOTS-normalized'!$A26, 'Larvae Collection'!$D:$D, 'SPAWNING PLOTS-normalized'!F$3))/SUMMARIES!$R$6</f>
        <v>0</v>
      </c>
      <c r="G26" s="153">
        <f>(SUMIFS('Larvae Collection'!$R:$R, 'Larvae Collection'!$A:$A,'SPAWNING PLOTS-normalized'!$A26, 'Larvae Collection'!$D:$D, 'SPAWNING PLOTS-normalized'!G$3))/SUMMARIES!$R$7</f>
        <v>0</v>
      </c>
      <c r="H26" s="153">
        <f>(SUMIFS('Larvae Collection'!$R:$R, 'Larvae Collection'!$A:$A,'SPAWNING PLOTS-normalized'!$A26, 'Larvae Collection'!$D:$D, 'SPAWNING PLOTS-normalized'!H$3))/SUMMARIES!$R$8</f>
        <v>0</v>
      </c>
      <c r="I26" s="153">
        <f>(SUMIFS('Larvae Collection'!$R:$R, 'Larvae Collection'!$A:$A,'SPAWNING PLOTS-normalized'!$A26, 'Larvae Collection'!$D:$D, 'SPAWNING PLOTS-normalized'!I$3))/SUMMARIES!$R$9</f>
        <v>1270.4607046070462</v>
      </c>
      <c r="J26" s="153">
        <f>(SUMIFS('Larvae Collection'!$R:$R, 'Larvae Collection'!$A:$A,'SPAWNING PLOTS-normalized'!$A26, 'Larvae Collection'!$D:$D, 'SPAWNING PLOTS-normalized'!J$3))/SUMMARIES!$R$10</f>
        <v>0</v>
      </c>
      <c r="K26" s="153">
        <f>(SUMIFS('Larvae Collection'!$R:$R, 'Larvae Collection'!$A:$A,'SPAWNING PLOTS-normalized'!$A26, 'Larvae Collection'!$D:$D, 'SPAWNING PLOTS-normalized'!K$3))/SUMMARIES!$R$11</f>
        <v>0</v>
      </c>
      <c r="L26" s="153">
        <f>(SUMIFS('Larvae Collection'!$R:$R, 'Larvae Collection'!$A:$A,'SPAWNING PLOTS-normalized'!$A26, 'Larvae Collection'!$D:$D, 'SPAWNING PLOTS-normalized'!L$3))/SUMMARIES!$R$12</f>
        <v>0</v>
      </c>
      <c r="M26" s="153">
        <f>(SUMIFS('Larvae Collection'!$R:$R, 'Larvae Collection'!$A:$A,'SPAWNING PLOTS-normalized'!$A26, 'Larvae Collection'!$D:$D, 'SPAWNING PLOTS-normalized'!M$3))/SUMMARIES!$R$13</f>
        <v>0</v>
      </c>
      <c r="N26" s="153">
        <f>(SUMIFS('Larvae Collection'!$R:$R, 'Larvae Collection'!$A:$A,'SPAWNING PLOTS-normalized'!$A26, 'Larvae Collection'!$D:$D, 'SPAWNING PLOTS-normalized'!N$3))/SUMMARIES!$R$14</f>
        <v>0</v>
      </c>
      <c r="O26" s="153">
        <f>(SUMIFS('Larvae Collection'!$R:$R, 'Larvae Collection'!$A:$A,'SPAWNING PLOTS-normalized'!$A26, 'Larvae Collection'!$D:$D, 'SPAWNING PLOTS-normalized'!O$3))/SUMMARIES!$R$15</f>
        <v>0</v>
      </c>
      <c r="P26" s="153">
        <f>(SUMIFS('Larvae Collection'!$R:$R, 'Larvae Collection'!$A:$A,'SPAWNING PLOTS-normalized'!$A26, 'Larvae Collection'!$D:$D, 'SPAWNING PLOTS-normalized'!P$3))/SUMMARIES!$R$16</f>
        <v>0</v>
      </c>
      <c r="Q26" s="153">
        <f>(SUMIFS('Larvae Collection'!$R:$R, 'Larvae Collection'!$A:$A,'SPAWNING PLOTS-normalized'!$A26, 'Larvae Collection'!$D:$D, 'SPAWNING PLOTS-normalized'!Q$3))/SUMMARIES!$R$17</f>
        <v>0</v>
      </c>
      <c r="R26" s="151">
        <f t="shared" si="4"/>
        <v>36056.287506400411</v>
      </c>
      <c r="S26" s="151">
        <f t="shared" si="4"/>
        <v>19491.511111111107</v>
      </c>
      <c r="T26" s="151">
        <f t="shared" si="4"/>
        <v>17505.336336336339</v>
      </c>
      <c r="U26" s="151">
        <f t="shared" si="4"/>
        <v>7052.7507002801121</v>
      </c>
      <c r="V26" s="151">
        <f t="shared" si="4"/>
        <v>10318.241098241097</v>
      </c>
      <c r="W26" s="151">
        <f t="shared" si="4"/>
        <v>19017.077160493827</v>
      </c>
      <c r="X26" s="151">
        <f t="shared" si="4"/>
        <v>23910.039461720313</v>
      </c>
      <c r="Y26" s="151">
        <f t="shared" si="4"/>
        <v>14119.867208672089</v>
      </c>
      <c r="Z26" s="151">
        <f t="shared" si="4"/>
        <v>18817.208556149733</v>
      </c>
      <c r="AA26" s="151">
        <f t="shared" si="4"/>
        <v>18951.111111111109</v>
      </c>
      <c r="AB26" s="151">
        <f t="shared" si="4"/>
        <v>18686.681286549709</v>
      </c>
      <c r="AC26" s="151">
        <f t="shared" si="4"/>
        <v>9704.5256410256407</v>
      </c>
      <c r="AD26" s="151">
        <f t="shared" si="4"/>
        <v>18144.255892255893</v>
      </c>
      <c r="AE26" s="151">
        <f t="shared" si="4"/>
        <v>17379.134717134719</v>
      </c>
      <c r="AF26" s="151">
        <f t="shared" si="4"/>
        <v>11372.666666666668</v>
      </c>
      <c r="AG26" s="151">
        <f t="shared" si="4"/>
        <v>18471.679894179892</v>
      </c>
    </row>
    <row r="27" spans="1:33" ht="19" x14ac:dyDescent="0.25">
      <c r="A27" s="150">
        <v>43212</v>
      </c>
      <c r="B27" s="153">
        <f>(SUMIFS('Larvae Collection'!$R:$R, 'Larvae Collection'!$A:$A,'SPAWNING PLOTS-normalized'!$A27, 'Larvae Collection'!$D:$D, 'SPAWNING PLOTS-normalized'!B$3))/SUMMARIES!$R$2</f>
        <v>0</v>
      </c>
      <c r="C27" s="153">
        <f>(SUMIFS('Larvae Collection'!$R:$R, 'Larvae Collection'!$A:$A,'SPAWNING PLOTS-normalized'!$A27, 'Larvae Collection'!$D:$D, 'SPAWNING PLOTS-normalized'!C$3))/SUMMARIES!$R$3</f>
        <v>1418.6666666666667</v>
      </c>
      <c r="D27" s="153">
        <f>(SUMIFS('Larvae Collection'!$R:$R, 'Larvae Collection'!$A:$A,'SPAWNING PLOTS-normalized'!$A27, 'Larvae Collection'!$D:$D, 'SPAWNING PLOTS-normalized'!D$3))/SUMMARIES!$R$4</f>
        <v>0</v>
      </c>
      <c r="E27" s="153">
        <f>(SUMIFS('Larvae Collection'!$R:$R, 'Larvae Collection'!$A:$A,'SPAWNING PLOTS-normalized'!$A27, 'Larvae Collection'!$D:$D, 'SPAWNING PLOTS-normalized'!E$3))/SUMMARIES!$R$5</f>
        <v>0</v>
      </c>
      <c r="F27" s="153">
        <f>(SUMIFS('Larvae Collection'!$R:$R, 'Larvae Collection'!$A:$A,'SPAWNING PLOTS-normalized'!$A27, 'Larvae Collection'!$D:$D, 'SPAWNING PLOTS-normalized'!F$3))/SUMMARIES!$R$6</f>
        <v>1511.9519519519517</v>
      </c>
      <c r="G27" s="153">
        <f>(SUMIFS('Larvae Collection'!$R:$R, 'Larvae Collection'!$A:$A,'SPAWNING PLOTS-normalized'!$A27, 'Larvae Collection'!$D:$D, 'SPAWNING PLOTS-normalized'!G$3))/SUMMARIES!$R$7</f>
        <v>0</v>
      </c>
      <c r="H27" s="153">
        <f>(SUMIFS('Larvae Collection'!$R:$R, 'Larvae Collection'!$A:$A,'SPAWNING PLOTS-normalized'!$A27, 'Larvae Collection'!$D:$D, 'SPAWNING PLOTS-normalized'!H$3))/SUMMARIES!$R$8</f>
        <v>0</v>
      </c>
      <c r="I27" s="153">
        <f>(SUMIFS('Larvae Collection'!$R:$R, 'Larvae Collection'!$A:$A,'SPAWNING PLOTS-normalized'!$A27, 'Larvae Collection'!$D:$D, 'SPAWNING PLOTS-normalized'!I$3))/SUMMARIES!$R$9</f>
        <v>283.9430894308943</v>
      </c>
      <c r="J27" s="153">
        <f>(SUMIFS('Larvae Collection'!$R:$R, 'Larvae Collection'!$A:$A,'SPAWNING PLOTS-normalized'!$A27, 'Larvae Collection'!$D:$D, 'SPAWNING PLOTS-normalized'!J$3))/SUMMARIES!$R$10</f>
        <v>0</v>
      </c>
      <c r="K27" s="153">
        <f>(SUMIFS('Larvae Collection'!$R:$R, 'Larvae Collection'!$A:$A,'SPAWNING PLOTS-normalized'!$A27, 'Larvae Collection'!$D:$D, 'SPAWNING PLOTS-normalized'!K$3))/SUMMARIES!$R$11</f>
        <v>0</v>
      </c>
      <c r="L27" s="153">
        <f>(SUMIFS('Larvae Collection'!$R:$R, 'Larvae Collection'!$A:$A,'SPAWNING PLOTS-normalized'!$A27, 'Larvae Collection'!$D:$D, 'SPAWNING PLOTS-normalized'!L$3))/SUMMARIES!$R$12</f>
        <v>0</v>
      </c>
      <c r="M27" s="153">
        <f>(SUMIFS('Larvae Collection'!$R:$R, 'Larvae Collection'!$A:$A,'SPAWNING PLOTS-normalized'!$A27, 'Larvae Collection'!$D:$D, 'SPAWNING PLOTS-normalized'!M$3))/SUMMARIES!$R$13</f>
        <v>0</v>
      </c>
      <c r="N27" s="153">
        <f>(SUMIFS('Larvae Collection'!$R:$R, 'Larvae Collection'!$A:$A,'SPAWNING PLOTS-normalized'!$A27, 'Larvae Collection'!$D:$D, 'SPAWNING PLOTS-normalized'!N$3))/SUMMARIES!$R$14</f>
        <v>1878.6379928315416</v>
      </c>
      <c r="O27" s="153">
        <f>(SUMIFS('Larvae Collection'!$R:$R, 'Larvae Collection'!$A:$A,'SPAWNING PLOTS-normalized'!$A27, 'Larvae Collection'!$D:$D, 'SPAWNING PLOTS-normalized'!O$3))/SUMMARIES!$R$15</f>
        <v>0</v>
      </c>
      <c r="P27" s="153">
        <f>(SUMIFS('Larvae Collection'!$R:$R, 'Larvae Collection'!$A:$A,'SPAWNING PLOTS-normalized'!$A27, 'Larvae Collection'!$D:$D, 'SPAWNING PLOTS-normalized'!P$3))/SUMMARIES!$R$16</f>
        <v>3582.2222222222222</v>
      </c>
      <c r="Q27" s="153">
        <f>(SUMIFS('Larvae Collection'!$R:$R, 'Larvae Collection'!$A:$A,'SPAWNING PLOTS-normalized'!$A27, 'Larvae Collection'!$D:$D, 'SPAWNING PLOTS-normalized'!Q$3))/SUMMARIES!$R$17</f>
        <v>0</v>
      </c>
      <c r="R27" s="151">
        <f t="shared" si="4"/>
        <v>36056.287506400411</v>
      </c>
      <c r="S27" s="151">
        <f t="shared" si="4"/>
        <v>20910.177777777775</v>
      </c>
      <c r="T27" s="151">
        <f t="shared" si="4"/>
        <v>17505.336336336339</v>
      </c>
      <c r="U27" s="151">
        <f t="shared" si="4"/>
        <v>7052.7507002801121</v>
      </c>
      <c r="V27" s="151">
        <f t="shared" si="4"/>
        <v>11830.193050193047</v>
      </c>
      <c r="W27" s="151">
        <f t="shared" si="4"/>
        <v>19017.077160493827</v>
      </c>
      <c r="X27" s="151">
        <f t="shared" si="4"/>
        <v>23910.039461720313</v>
      </c>
      <c r="Y27" s="151">
        <f t="shared" si="4"/>
        <v>14403.810298102982</v>
      </c>
      <c r="Z27" s="151">
        <f t="shared" si="4"/>
        <v>18817.208556149733</v>
      </c>
      <c r="AA27" s="151">
        <f t="shared" si="4"/>
        <v>18951.111111111109</v>
      </c>
      <c r="AB27" s="151">
        <f t="shared" si="4"/>
        <v>18686.681286549709</v>
      </c>
      <c r="AC27" s="151">
        <f t="shared" si="4"/>
        <v>9704.5256410256407</v>
      </c>
      <c r="AD27" s="151">
        <f t="shared" si="4"/>
        <v>20022.893885087433</v>
      </c>
      <c r="AE27" s="151">
        <f t="shared" si="4"/>
        <v>17379.134717134719</v>
      </c>
      <c r="AF27" s="151">
        <f t="shared" si="4"/>
        <v>14954.888888888891</v>
      </c>
      <c r="AG27" s="151">
        <f t="shared" si="4"/>
        <v>18471.679894179892</v>
      </c>
    </row>
    <row r="28" spans="1:33" ht="19" x14ac:dyDescent="0.25">
      <c r="A28" s="150">
        <v>43213</v>
      </c>
      <c r="B28" s="153">
        <f>(SUMIFS('Larvae Collection'!$R:$R, 'Larvae Collection'!$A:$A,'SPAWNING PLOTS-normalized'!$A28, 'Larvae Collection'!$D:$D, 'SPAWNING PLOTS-normalized'!B$3))/SUMMARIES!$S$2</f>
        <v>0</v>
      </c>
      <c r="C28" s="153">
        <f>(SUMIFS('Larvae Collection'!$R:$R, 'Larvae Collection'!$A:$A,'SPAWNING PLOTS-normalized'!$A28, 'Larvae Collection'!$D:$D, 'SPAWNING PLOTS-normalized'!C$3))/SUMMARIES!$S$3</f>
        <v>0</v>
      </c>
      <c r="D28" s="153">
        <f>(SUMIFS('Larvae Collection'!$R:$R, 'Larvae Collection'!$A:$A,'SPAWNING PLOTS-normalized'!$A28, 'Larvae Collection'!$D:$D, 'SPAWNING PLOTS-normalized'!D$3))/SUMMARIES!$S$4</f>
        <v>0</v>
      </c>
      <c r="E28" s="153">
        <f>(SUMIFS('Larvae Collection'!$R:$R, 'Larvae Collection'!$A:$A,'SPAWNING PLOTS-normalized'!$A28, 'Larvae Collection'!$D:$D, 'SPAWNING PLOTS-normalized'!E$3))/SUMMARIES!$S$5</f>
        <v>0</v>
      </c>
      <c r="F28" s="153">
        <f>(SUMIFS('Larvae Collection'!$R:$R, 'Larvae Collection'!$A:$A,'SPAWNING PLOTS-normalized'!$A28, 'Larvae Collection'!$D:$D, 'SPAWNING PLOTS-normalized'!F$3))/SUMMARIES!$S$6</f>
        <v>0</v>
      </c>
      <c r="G28" s="153">
        <f>(SUMIFS('Larvae Collection'!$R:$R, 'Larvae Collection'!$A:$A,'SPAWNING PLOTS-normalized'!$A28, 'Larvae Collection'!$D:$D, 'SPAWNING PLOTS-normalized'!G$3))/SUMMARIES!$S$7</f>
        <v>0</v>
      </c>
      <c r="H28" s="153">
        <f>(SUMIFS('Larvae Collection'!$R:$R, 'Larvae Collection'!$A:$A,'SPAWNING PLOTS-normalized'!$A28, 'Larvae Collection'!$D:$D, 'SPAWNING PLOTS-normalized'!H$3))/SUMMARIES!$S$8</f>
        <v>0</v>
      </c>
      <c r="I28" s="153">
        <f>(SUMIFS('Larvae Collection'!$R:$R, 'Larvae Collection'!$A:$A,'SPAWNING PLOTS-normalized'!$A28, 'Larvae Collection'!$D:$D, 'SPAWNING PLOTS-normalized'!I$3))/SUMMARIES!$S$9</f>
        <v>0</v>
      </c>
      <c r="J28" s="153">
        <f>(SUMIFS('Larvae Collection'!$R:$R, 'Larvae Collection'!$A:$A,'SPAWNING PLOTS-normalized'!$A28, 'Larvae Collection'!$D:$D, 'SPAWNING PLOTS-normalized'!J$3))/SUMMARIES!$S$10</f>
        <v>0</v>
      </c>
      <c r="K28" s="153">
        <f>(SUMIFS('Larvae Collection'!$R:$R, 'Larvae Collection'!$A:$A,'SPAWNING PLOTS-normalized'!$A28, 'Larvae Collection'!$D:$D, 'SPAWNING PLOTS-normalized'!K$3))/SUMMARIES!$S$11</f>
        <v>0</v>
      </c>
      <c r="L28" s="153">
        <f>(SUMIFS('Larvae Collection'!$R:$R, 'Larvae Collection'!$A:$A,'SPAWNING PLOTS-normalized'!$A28, 'Larvae Collection'!$D:$D, 'SPAWNING PLOTS-normalized'!L$3))/SUMMARIES!$S$12</f>
        <v>0</v>
      </c>
      <c r="M28" s="153">
        <f>(SUMIFS('Larvae Collection'!$R:$R, 'Larvae Collection'!$A:$A,'SPAWNING PLOTS-normalized'!$A28, 'Larvae Collection'!$D:$D, 'SPAWNING PLOTS-normalized'!M$3))/SUMMARIES!$S$13</f>
        <v>0</v>
      </c>
      <c r="N28" s="153">
        <f>(SUMIFS('Larvae Collection'!$R:$R, 'Larvae Collection'!$A:$A,'SPAWNING PLOTS-normalized'!$A28, 'Larvae Collection'!$D:$D, 'SPAWNING PLOTS-normalized'!N$3))/SUMMARIES!$S$14</f>
        <v>0</v>
      </c>
      <c r="O28" s="153">
        <f>(SUMIFS('Larvae Collection'!$R:$R, 'Larvae Collection'!$A:$A,'SPAWNING PLOTS-normalized'!$A28, 'Larvae Collection'!$D:$D, 'SPAWNING PLOTS-normalized'!O$3))/SUMMARIES!$S$15</f>
        <v>0</v>
      </c>
      <c r="P28" s="153">
        <f>(SUMIFS('Larvae Collection'!$R:$R, 'Larvae Collection'!$A:$A,'SPAWNING PLOTS-normalized'!$A28, 'Larvae Collection'!$D:$D, 'SPAWNING PLOTS-normalized'!P$3))/SUMMARIES!$S$16</f>
        <v>0</v>
      </c>
      <c r="Q28" s="153">
        <f>(SUMIFS('Larvae Collection'!$R:$R, 'Larvae Collection'!$A:$A,'SPAWNING PLOTS-normalized'!$A28, 'Larvae Collection'!$D:$D, 'SPAWNING PLOTS-normalized'!Q$3))/SUMMARIES!$S$17</f>
        <v>0</v>
      </c>
      <c r="R28" s="151">
        <f t="shared" si="4"/>
        <v>36056.287506400411</v>
      </c>
      <c r="S28" s="151">
        <f t="shared" si="4"/>
        <v>20910.177777777775</v>
      </c>
      <c r="T28" s="151">
        <f t="shared" si="4"/>
        <v>17505.336336336339</v>
      </c>
      <c r="U28" s="151">
        <f t="shared" si="4"/>
        <v>7052.7507002801121</v>
      </c>
      <c r="V28" s="151">
        <f t="shared" si="4"/>
        <v>11830.193050193047</v>
      </c>
      <c r="W28" s="151">
        <f t="shared" si="4"/>
        <v>19017.077160493827</v>
      </c>
      <c r="X28" s="151">
        <f t="shared" si="4"/>
        <v>23910.039461720313</v>
      </c>
      <c r="Y28" s="151">
        <f t="shared" si="4"/>
        <v>14403.810298102982</v>
      </c>
      <c r="Z28" s="151">
        <f t="shared" si="4"/>
        <v>18817.208556149733</v>
      </c>
      <c r="AA28" s="151">
        <f t="shared" si="4"/>
        <v>18951.111111111109</v>
      </c>
      <c r="AB28" s="151">
        <f t="shared" si="4"/>
        <v>18686.681286549709</v>
      </c>
      <c r="AC28" s="151">
        <f t="shared" si="4"/>
        <v>9704.5256410256407</v>
      </c>
      <c r="AD28" s="151">
        <f t="shared" si="4"/>
        <v>20022.893885087433</v>
      </c>
      <c r="AE28" s="151">
        <f t="shared" si="4"/>
        <v>17379.134717134719</v>
      </c>
      <c r="AF28" s="151">
        <f t="shared" si="4"/>
        <v>14954.888888888891</v>
      </c>
      <c r="AG28" s="151">
        <f t="shared" si="4"/>
        <v>18471.679894179892</v>
      </c>
    </row>
    <row r="29" spans="1:33" ht="19" x14ac:dyDescent="0.25">
      <c r="A29" s="150">
        <v>43214</v>
      </c>
      <c r="B29" s="153">
        <f>(SUMIFS('Larvae Collection'!$R:$R, 'Larvae Collection'!$A:$A,'SPAWNING PLOTS-normalized'!$A29, 'Larvae Collection'!$D:$D, 'SPAWNING PLOTS-normalized'!B$3))/SUMMARIES!$S$2</f>
        <v>0</v>
      </c>
      <c r="C29" s="153">
        <f>(SUMIFS('Larvae Collection'!$R:$R, 'Larvae Collection'!$A:$A,'SPAWNING PLOTS-normalized'!$A29, 'Larvae Collection'!$D:$D, 'SPAWNING PLOTS-normalized'!C$3))/SUMMARIES!$S$3</f>
        <v>0</v>
      </c>
      <c r="D29" s="153">
        <f>(SUMIFS('Larvae Collection'!$R:$R, 'Larvae Collection'!$A:$A,'SPAWNING PLOTS-normalized'!$A29, 'Larvae Collection'!$D:$D, 'SPAWNING PLOTS-normalized'!D$3))/SUMMARIES!$S$4</f>
        <v>0</v>
      </c>
      <c r="E29" s="153">
        <f>(SUMIFS('Larvae Collection'!$R:$R, 'Larvae Collection'!$A:$A,'SPAWNING PLOTS-normalized'!$A29, 'Larvae Collection'!$D:$D, 'SPAWNING PLOTS-normalized'!E$3))/SUMMARIES!$S$5</f>
        <v>0</v>
      </c>
      <c r="F29" s="153">
        <f>(SUMIFS('Larvae Collection'!$R:$R, 'Larvae Collection'!$A:$A,'SPAWNING PLOTS-normalized'!$A29, 'Larvae Collection'!$D:$D, 'SPAWNING PLOTS-normalized'!F$3))/SUMMARIES!$S$6</f>
        <v>1650.9909909909911</v>
      </c>
      <c r="G29" s="153">
        <f>(SUMIFS('Larvae Collection'!$R:$R, 'Larvae Collection'!$A:$A,'SPAWNING PLOTS-normalized'!$A29, 'Larvae Collection'!$D:$D, 'SPAWNING PLOTS-normalized'!G$3))/SUMMARIES!$S$7</f>
        <v>0</v>
      </c>
      <c r="H29" s="153">
        <f>(SUMIFS('Larvae Collection'!$R:$R, 'Larvae Collection'!$A:$A,'SPAWNING PLOTS-normalized'!$A29, 'Larvae Collection'!$D:$D, 'SPAWNING PLOTS-normalized'!H$3))/SUMMARIES!$S$8</f>
        <v>0</v>
      </c>
      <c r="I29" s="153">
        <f>(SUMIFS('Larvae Collection'!$R:$R, 'Larvae Collection'!$A:$A,'SPAWNING PLOTS-normalized'!$A29, 'Larvae Collection'!$D:$D, 'SPAWNING PLOTS-normalized'!I$3))/SUMMARIES!$S$9</f>
        <v>0</v>
      </c>
      <c r="J29" s="153">
        <f>(SUMIFS('Larvae Collection'!$R:$R, 'Larvae Collection'!$A:$A,'SPAWNING PLOTS-normalized'!$A29, 'Larvae Collection'!$D:$D, 'SPAWNING PLOTS-normalized'!J$3))/SUMMARIES!$S$10</f>
        <v>0</v>
      </c>
      <c r="K29" s="153">
        <f>(SUMIFS('Larvae Collection'!$R:$R, 'Larvae Collection'!$A:$A,'SPAWNING PLOTS-normalized'!$A29, 'Larvae Collection'!$D:$D, 'SPAWNING PLOTS-normalized'!K$3))/SUMMARIES!$S$11</f>
        <v>0</v>
      </c>
      <c r="L29" s="153">
        <f>(SUMIFS('Larvae Collection'!$R:$R, 'Larvae Collection'!$A:$A,'SPAWNING PLOTS-normalized'!$A29, 'Larvae Collection'!$D:$D, 'SPAWNING PLOTS-normalized'!L$3))/SUMMARIES!$S$12</f>
        <v>0</v>
      </c>
      <c r="M29" s="153">
        <f>(SUMIFS('Larvae Collection'!$R:$R, 'Larvae Collection'!$A:$A,'SPAWNING PLOTS-normalized'!$A29, 'Larvae Collection'!$D:$D, 'SPAWNING PLOTS-normalized'!M$3))/SUMMARIES!$S$13</f>
        <v>0</v>
      </c>
      <c r="N29" s="153">
        <f>(SUMIFS('Larvae Collection'!$R:$R, 'Larvae Collection'!$A:$A,'SPAWNING PLOTS-normalized'!$A29, 'Larvae Collection'!$D:$D, 'SPAWNING PLOTS-normalized'!N$3))/SUMMARIES!$S$14</f>
        <v>0</v>
      </c>
      <c r="O29" s="153">
        <f>(SUMIFS('Larvae Collection'!$R:$R, 'Larvae Collection'!$A:$A,'SPAWNING PLOTS-normalized'!$A29, 'Larvae Collection'!$D:$D, 'SPAWNING PLOTS-normalized'!O$3))/SUMMARIES!$S$15</f>
        <v>0</v>
      </c>
      <c r="P29" s="153">
        <f>(SUMIFS('Larvae Collection'!$R:$R, 'Larvae Collection'!$A:$A,'SPAWNING PLOTS-normalized'!$A29, 'Larvae Collection'!$D:$D, 'SPAWNING PLOTS-normalized'!P$3))/SUMMARIES!$S$16</f>
        <v>0</v>
      </c>
      <c r="Q29" s="153">
        <f>(SUMIFS('Larvae Collection'!$R:$R, 'Larvae Collection'!$A:$A,'SPAWNING PLOTS-normalized'!$A29, 'Larvae Collection'!$D:$D, 'SPAWNING PLOTS-normalized'!Q$3))/SUMMARIES!$S$17</f>
        <v>0</v>
      </c>
      <c r="R29" s="151">
        <f t="shared" si="4"/>
        <v>36056.287506400411</v>
      </c>
      <c r="S29" s="151">
        <f t="shared" si="4"/>
        <v>20910.177777777775</v>
      </c>
      <c r="T29" s="151">
        <f t="shared" si="4"/>
        <v>17505.336336336339</v>
      </c>
      <c r="U29" s="151">
        <f t="shared" si="4"/>
        <v>7052.7507002801121</v>
      </c>
      <c r="V29" s="151">
        <f t="shared" si="4"/>
        <v>13481.184041184039</v>
      </c>
      <c r="W29" s="151">
        <f t="shared" si="4"/>
        <v>19017.077160493827</v>
      </c>
      <c r="X29" s="151">
        <f t="shared" si="4"/>
        <v>23910.039461720313</v>
      </c>
      <c r="Y29" s="151">
        <f t="shared" si="4"/>
        <v>14403.810298102982</v>
      </c>
      <c r="Z29" s="151">
        <f t="shared" si="4"/>
        <v>18817.208556149733</v>
      </c>
      <c r="AA29" s="151">
        <f t="shared" si="4"/>
        <v>18951.111111111109</v>
      </c>
      <c r="AB29" s="151">
        <f t="shared" si="4"/>
        <v>18686.681286549709</v>
      </c>
      <c r="AC29" s="151">
        <f t="shared" si="4"/>
        <v>9704.5256410256407</v>
      </c>
      <c r="AD29" s="151">
        <f t="shared" si="4"/>
        <v>20022.893885087433</v>
      </c>
      <c r="AE29" s="151">
        <f t="shared" si="4"/>
        <v>17379.134717134719</v>
      </c>
      <c r="AF29" s="151">
        <f t="shared" si="4"/>
        <v>14954.888888888891</v>
      </c>
      <c r="AG29" s="151">
        <f t="shared" si="4"/>
        <v>18471.679894179892</v>
      </c>
    </row>
    <row r="30" spans="1:33" ht="19" x14ac:dyDescent="0.25">
      <c r="A30" s="150">
        <v>43215</v>
      </c>
      <c r="B30" s="153">
        <f>(SUMIFS('Larvae Collection'!$R:$R, 'Larvae Collection'!$A:$A,'SPAWNING PLOTS-normalized'!$A30, 'Larvae Collection'!$D:$D, 'SPAWNING PLOTS-normalized'!B$3))/SUMMARIES!$S$2</f>
        <v>1831.5412186379931</v>
      </c>
      <c r="C30" s="153">
        <f>(SUMIFS('Larvae Collection'!$R:$R, 'Larvae Collection'!$A:$A,'SPAWNING PLOTS-normalized'!$A30, 'Larvae Collection'!$D:$D, 'SPAWNING PLOTS-normalized'!C$3))/SUMMARIES!$S$3</f>
        <v>0</v>
      </c>
      <c r="D30" s="153">
        <f>(SUMIFS('Larvae Collection'!$R:$R, 'Larvae Collection'!$A:$A,'SPAWNING PLOTS-normalized'!$A30, 'Larvae Collection'!$D:$D, 'SPAWNING PLOTS-normalized'!D$3))/SUMMARIES!$S$4</f>
        <v>2560.3603603603606</v>
      </c>
      <c r="E30" s="153">
        <f>(SUMIFS('Larvae Collection'!$R:$R, 'Larvae Collection'!$A:$A,'SPAWNING PLOTS-normalized'!$A30, 'Larvae Collection'!$D:$D, 'SPAWNING PLOTS-normalized'!E$3))/SUMMARIES!$S$5</f>
        <v>0</v>
      </c>
      <c r="F30" s="153">
        <f>(SUMIFS('Larvae Collection'!$R:$R, 'Larvae Collection'!$A:$A,'SPAWNING PLOTS-normalized'!$A30, 'Larvae Collection'!$D:$D, 'SPAWNING PLOTS-normalized'!F$3))/SUMMARIES!$S$6</f>
        <v>4945.5855855855852</v>
      </c>
      <c r="G30" s="153">
        <f>(SUMIFS('Larvae Collection'!$R:$R, 'Larvae Collection'!$A:$A,'SPAWNING PLOTS-normalized'!$A30, 'Larvae Collection'!$D:$D, 'SPAWNING PLOTS-normalized'!G$3))/SUMMARIES!$S$7</f>
        <v>0</v>
      </c>
      <c r="H30" s="153">
        <f>(SUMIFS('Larvae Collection'!$R:$R, 'Larvae Collection'!$A:$A,'SPAWNING PLOTS-normalized'!$A30, 'Larvae Collection'!$D:$D, 'SPAWNING PLOTS-normalized'!H$3))/SUMMARIES!$S$8</f>
        <v>1233.1560283687943</v>
      </c>
      <c r="I30" s="153">
        <f>(SUMIFS('Larvae Collection'!$R:$R, 'Larvae Collection'!$A:$A,'SPAWNING PLOTS-normalized'!$A30, 'Larvae Collection'!$D:$D, 'SPAWNING PLOTS-normalized'!I$3))/SUMMARIES!$S$9</f>
        <v>0</v>
      </c>
      <c r="J30" s="153">
        <f>(SUMIFS('Larvae Collection'!$R:$R, 'Larvae Collection'!$A:$A,'SPAWNING PLOTS-normalized'!$A30, 'Larvae Collection'!$D:$D, 'SPAWNING PLOTS-normalized'!J$3))/SUMMARIES!$S$10</f>
        <v>0</v>
      </c>
      <c r="K30" s="153">
        <f>(SUMIFS('Larvae Collection'!$R:$R, 'Larvae Collection'!$A:$A,'SPAWNING PLOTS-normalized'!$A30, 'Larvae Collection'!$D:$D, 'SPAWNING PLOTS-normalized'!K$3))/SUMMARIES!$S$11</f>
        <v>0</v>
      </c>
      <c r="L30" s="153">
        <f>(SUMIFS('Larvae Collection'!$R:$R, 'Larvae Collection'!$A:$A,'SPAWNING PLOTS-normalized'!$A30, 'Larvae Collection'!$D:$D, 'SPAWNING PLOTS-normalized'!L$3))/SUMMARIES!$S$12</f>
        <v>0</v>
      </c>
      <c r="M30" s="153">
        <f>(SUMIFS('Larvae Collection'!$R:$R, 'Larvae Collection'!$A:$A,'SPAWNING PLOTS-normalized'!$A30, 'Larvae Collection'!$D:$D, 'SPAWNING PLOTS-normalized'!M$3))/SUMMARIES!$S$13</f>
        <v>3833.8461538461543</v>
      </c>
      <c r="N30" s="153">
        <f>(SUMIFS('Larvae Collection'!$R:$R, 'Larvae Collection'!$A:$A,'SPAWNING PLOTS-normalized'!$A30, 'Larvae Collection'!$D:$D, 'SPAWNING PLOTS-normalized'!N$3))/SUMMARIES!$S$14</f>
        <v>1586.9175627240145</v>
      </c>
      <c r="O30" s="153">
        <f>(SUMIFS('Larvae Collection'!$R:$R, 'Larvae Collection'!$A:$A,'SPAWNING PLOTS-normalized'!$A30, 'Larvae Collection'!$D:$D, 'SPAWNING PLOTS-normalized'!O$3))/SUMMARIES!$S$15</f>
        <v>0</v>
      </c>
      <c r="P30" s="153">
        <f>(SUMIFS('Larvae Collection'!$R:$R, 'Larvae Collection'!$A:$A,'SPAWNING PLOTS-normalized'!$A30, 'Larvae Collection'!$D:$D, 'SPAWNING PLOTS-normalized'!P$3))/SUMMARIES!$S$16</f>
        <v>0</v>
      </c>
      <c r="Q30" s="153">
        <f>(SUMIFS('Larvae Collection'!$R:$R, 'Larvae Collection'!$A:$A,'SPAWNING PLOTS-normalized'!$A30, 'Larvae Collection'!$D:$D, 'SPAWNING PLOTS-normalized'!Q$3))/SUMMARIES!$S$17</f>
        <v>0</v>
      </c>
      <c r="R30" s="151">
        <f t="shared" si="4"/>
        <v>37887.828725038402</v>
      </c>
      <c r="S30" s="151">
        <f t="shared" si="4"/>
        <v>20910.177777777775</v>
      </c>
      <c r="T30" s="151">
        <f t="shared" si="4"/>
        <v>20065.696696696701</v>
      </c>
      <c r="U30" s="151">
        <f t="shared" si="4"/>
        <v>7052.7507002801121</v>
      </c>
      <c r="V30" s="151">
        <f t="shared" si="4"/>
        <v>18426.769626769623</v>
      </c>
      <c r="W30" s="151">
        <f t="shared" si="4"/>
        <v>19017.077160493827</v>
      </c>
      <c r="X30" s="151">
        <f t="shared" si="4"/>
        <v>25143.195490089107</v>
      </c>
      <c r="Y30" s="151">
        <f t="shared" si="4"/>
        <v>14403.810298102982</v>
      </c>
      <c r="Z30" s="151">
        <f t="shared" si="4"/>
        <v>18817.208556149733</v>
      </c>
      <c r="AA30" s="151">
        <f t="shared" si="4"/>
        <v>18951.111111111109</v>
      </c>
      <c r="AB30" s="151">
        <f t="shared" si="4"/>
        <v>18686.681286549709</v>
      </c>
      <c r="AC30" s="151">
        <f t="shared" si="4"/>
        <v>13538.371794871795</v>
      </c>
      <c r="AD30" s="151">
        <f t="shared" si="4"/>
        <v>21609.811447811448</v>
      </c>
      <c r="AE30" s="151">
        <f t="shared" si="4"/>
        <v>17379.134717134719</v>
      </c>
      <c r="AF30" s="151">
        <f t="shared" si="4"/>
        <v>14954.888888888891</v>
      </c>
      <c r="AG30" s="151">
        <f t="shared" si="4"/>
        <v>18471.679894179892</v>
      </c>
    </row>
    <row r="31" spans="1:33" ht="19" x14ac:dyDescent="0.25">
      <c r="A31" s="150">
        <v>43216</v>
      </c>
      <c r="B31" s="153">
        <f>(SUMIFS('Larvae Collection'!$R:$R, 'Larvae Collection'!$A:$A,'SPAWNING PLOTS-normalized'!$A31, 'Larvae Collection'!$D:$D, 'SPAWNING PLOTS-normalized'!B$3))/SUMMARIES!$S$2</f>
        <v>0</v>
      </c>
      <c r="C31" s="153">
        <f>(SUMIFS('Larvae Collection'!$R:$R, 'Larvae Collection'!$A:$A,'SPAWNING PLOTS-normalized'!$A31, 'Larvae Collection'!$D:$D, 'SPAWNING PLOTS-normalized'!C$3))/SUMMARIES!$S$3</f>
        <v>0</v>
      </c>
      <c r="D31" s="153">
        <f>(SUMIFS('Larvae Collection'!$R:$R, 'Larvae Collection'!$A:$A,'SPAWNING PLOTS-normalized'!$A31, 'Larvae Collection'!$D:$D, 'SPAWNING PLOTS-normalized'!D$3))/SUMMARIES!$S$4</f>
        <v>0</v>
      </c>
      <c r="E31" s="153">
        <f>(SUMIFS('Larvae Collection'!$R:$R, 'Larvae Collection'!$A:$A,'SPAWNING PLOTS-normalized'!$A31, 'Larvae Collection'!$D:$D, 'SPAWNING PLOTS-normalized'!E$3))/SUMMARIES!$S$5</f>
        <v>0</v>
      </c>
      <c r="F31" s="153">
        <f>(SUMIFS('Larvae Collection'!$R:$R, 'Larvae Collection'!$A:$A,'SPAWNING PLOTS-normalized'!$A31, 'Larvae Collection'!$D:$D, 'SPAWNING PLOTS-normalized'!F$3))/SUMMARIES!$S$6</f>
        <v>0</v>
      </c>
      <c r="G31" s="153">
        <f>(SUMIFS('Larvae Collection'!$R:$R, 'Larvae Collection'!$A:$A,'SPAWNING PLOTS-normalized'!$A31, 'Larvae Collection'!$D:$D, 'SPAWNING PLOTS-normalized'!G$3))/SUMMARIES!$S$7</f>
        <v>0</v>
      </c>
      <c r="H31" s="153">
        <f>(SUMIFS('Larvae Collection'!$R:$R, 'Larvae Collection'!$A:$A,'SPAWNING PLOTS-normalized'!$A31, 'Larvae Collection'!$D:$D, 'SPAWNING PLOTS-normalized'!H$3))/SUMMARIES!$S$8</f>
        <v>0</v>
      </c>
      <c r="I31" s="153">
        <f>(SUMIFS('Larvae Collection'!$R:$R, 'Larvae Collection'!$A:$A,'SPAWNING PLOTS-normalized'!$A31, 'Larvae Collection'!$D:$D, 'SPAWNING PLOTS-normalized'!I$3))/SUMMARIES!$S$9</f>
        <v>0</v>
      </c>
      <c r="J31" s="153">
        <f>(SUMIFS('Larvae Collection'!$R:$R, 'Larvae Collection'!$A:$A,'SPAWNING PLOTS-normalized'!$A31, 'Larvae Collection'!$D:$D, 'SPAWNING PLOTS-normalized'!J$3))/SUMMARIES!$S$10</f>
        <v>0</v>
      </c>
      <c r="K31" s="153">
        <f>(SUMIFS('Larvae Collection'!$R:$R, 'Larvae Collection'!$A:$A,'SPAWNING PLOTS-normalized'!$A31, 'Larvae Collection'!$D:$D, 'SPAWNING PLOTS-normalized'!K$3))/SUMMARIES!$S$11</f>
        <v>0</v>
      </c>
      <c r="L31" s="153">
        <f>(SUMIFS('Larvae Collection'!$R:$R, 'Larvae Collection'!$A:$A,'SPAWNING PLOTS-normalized'!$A31, 'Larvae Collection'!$D:$D, 'SPAWNING PLOTS-normalized'!L$3))/SUMMARIES!$S$12</f>
        <v>0</v>
      </c>
      <c r="M31" s="153">
        <f>(SUMIFS('Larvae Collection'!$R:$R, 'Larvae Collection'!$A:$A,'SPAWNING PLOTS-normalized'!$A31, 'Larvae Collection'!$D:$D, 'SPAWNING PLOTS-normalized'!M$3))/SUMMARIES!$S$13</f>
        <v>0</v>
      </c>
      <c r="N31" s="153">
        <f>(SUMIFS('Larvae Collection'!$R:$R, 'Larvae Collection'!$A:$A,'SPAWNING PLOTS-normalized'!$A31, 'Larvae Collection'!$D:$D, 'SPAWNING PLOTS-normalized'!N$3))/SUMMARIES!$S$14</f>
        <v>0</v>
      </c>
      <c r="O31" s="153">
        <f>(SUMIFS('Larvae Collection'!$R:$R, 'Larvae Collection'!$A:$A,'SPAWNING PLOTS-normalized'!$A31, 'Larvae Collection'!$D:$D, 'SPAWNING PLOTS-normalized'!O$3))/SUMMARIES!$S$15</f>
        <v>0</v>
      </c>
      <c r="P31" s="153">
        <f>(SUMIFS('Larvae Collection'!$R:$R, 'Larvae Collection'!$A:$A,'SPAWNING PLOTS-normalized'!$A31, 'Larvae Collection'!$D:$D, 'SPAWNING PLOTS-normalized'!P$3))/SUMMARIES!$S$16</f>
        <v>0</v>
      </c>
      <c r="Q31" s="153">
        <f>(SUMIFS('Larvae Collection'!$R:$R, 'Larvae Collection'!$A:$A,'SPAWNING PLOTS-normalized'!$A31, 'Larvae Collection'!$D:$D, 'SPAWNING PLOTS-normalized'!Q$3))/SUMMARIES!$S$17</f>
        <v>0</v>
      </c>
      <c r="R31" s="151">
        <f t="shared" si="4"/>
        <v>37887.828725038402</v>
      </c>
      <c r="S31" s="151">
        <f t="shared" si="4"/>
        <v>20910.177777777775</v>
      </c>
      <c r="T31" s="151">
        <f t="shared" si="4"/>
        <v>20065.696696696701</v>
      </c>
      <c r="U31" s="151">
        <f t="shared" si="4"/>
        <v>7052.7507002801121</v>
      </c>
      <c r="V31" s="151">
        <f t="shared" si="4"/>
        <v>18426.769626769623</v>
      </c>
      <c r="W31" s="151">
        <f t="shared" si="4"/>
        <v>19017.077160493827</v>
      </c>
      <c r="X31" s="151">
        <f t="shared" si="4"/>
        <v>25143.195490089107</v>
      </c>
      <c r="Y31" s="151">
        <f t="shared" si="4"/>
        <v>14403.810298102982</v>
      </c>
      <c r="Z31" s="151">
        <f t="shared" si="4"/>
        <v>18817.208556149733</v>
      </c>
      <c r="AA31" s="151">
        <f t="shared" si="4"/>
        <v>18951.111111111109</v>
      </c>
      <c r="AB31" s="151">
        <f t="shared" si="4"/>
        <v>18686.681286549709</v>
      </c>
      <c r="AC31" s="151">
        <f t="shared" si="4"/>
        <v>13538.371794871795</v>
      </c>
      <c r="AD31" s="151">
        <f t="shared" si="4"/>
        <v>21609.811447811448</v>
      </c>
      <c r="AE31" s="151">
        <f t="shared" si="4"/>
        <v>17379.134717134719</v>
      </c>
      <c r="AF31" s="151">
        <f t="shared" si="4"/>
        <v>14954.888888888891</v>
      </c>
      <c r="AG31" s="151">
        <f t="shared" si="4"/>
        <v>18471.679894179892</v>
      </c>
    </row>
    <row r="32" spans="1:33" x14ac:dyDescent="0.2">
      <c r="A32" s="152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x14ac:dyDescent="0.2">
      <c r="A33" s="152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s="155" customFormat="1" x14ac:dyDescent="0.2">
      <c r="A34" s="164" t="s">
        <v>200</v>
      </c>
      <c r="B34" s="163">
        <f>SUM(B4:B31)</f>
        <v>37887.828725038402</v>
      </c>
      <c r="C34" s="163">
        <f t="shared" ref="C34:Q34" si="5">SUM(C4:C31)</f>
        <v>20910.177777777775</v>
      </c>
      <c r="D34" s="163">
        <f t="shared" si="5"/>
        <v>20065.696696696701</v>
      </c>
      <c r="E34" s="163">
        <f t="shared" si="5"/>
        <v>7052.7507002801121</v>
      </c>
      <c r="F34" s="163">
        <f t="shared" si="5"/>
        <v>18426.769626769623</v>
      </c>
      <c r="G34" s="163">
        <f t="shared" si="5"/>
        <v>19017.077160493827</v>
      </c>
      <c r="H34" s="163">
        <f t="shared" si="5"/>
        <v>25143.195490089107</v>
      </c>
      <c r="I34" s="163">
        <f t="shared" si="5"/>
        <v>14403.810298102982</v>
      </c>
      <c r="J34" s="163">
        <f t="shared" si="5"/>
        <v>18817.208556149733</v>
      </c>
      <c r="K34" s="163">
        <f t="shared" si="5"/>
        <v>18951.111111111109</v>
      </c>
      <c r="L34" s="163">
        <f t="shared" si="5"/>
        <v>18686.681286549709</v>
      </c>
      <c r="M34" s="163">
        <f t="shared" si="5"/>
        <v>13538.371794871795</v>
      </c>
      <c r="N34" s="163">
        <f t="shared" si="5"/>
        <v>21609.811447811448</v>
      </c>
      <c r="O34" s="163">
        <f t="shared" si="5"/>
        <v>17379.134717134719</v>
      </c>
      <c r="P34" s="163">
        <f t="shared" si="5"/>
        <v>14954.888888888891</v>
      </c>
      <c r="Q34" s="163">
        <f t="shared" si="5"/>
        <v>18471.679894179892</v>
      </c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</row>
    <row r="35" spans="1:33" x14ac:dyDescent="0.2">
      <c r="A35" s="152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  <row r="44" spans="1:33" x14ac:dyDescent="0.2">
      <c r="A44" s="152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  <vt:lpstr>Survival 35 days</vt:lpstr>
      <vt:lpstr>15-month-survival</vt:lpstr>
      <vt:lpstr>SUMMARIES!Extract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2018-03-30T19:36:03Z</dcterms:created>
  <dcterms:modified xsi:type="dcterms:W3CDTF">2019-11-16T02:04:28Z</dcterms:modified>
</cp:coreProperties>
</file>