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squema d'integració" sheetId="1" r:id="rId1"/>
    <sheet name="Additiu - Descomposició" sheetId="3" r:id="rId2"/>
    <sheet name="Aditiu - AEHW" sheetId="5" r:id="rId3"/>
    <sheet name="Multiplicatiu - Descomposició" sheetId="4" r:id="rId4"/>
    <sheet name="Multiplicatiu - AEHW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6" l="1"/>
  <c r="H11" i="6" s="1"/>
  <c r="E11" i="6"/>
  <c r="D12" i="6" s="1"/>
  <c r="D11" i="6"/>
  <c r="G12" i="6" s="1"/>
  <c r="H12" i="6" s="1"/>
  <c r="I1" i="6"/>
  <c r="E1" i="6"/>
  <c r="E2" i="6" s="1"/>
  <c r="D14" i="4"/>
  <c r="D13" i="4"/>
  <c r="D12" i="4"/>
  <c r="E12" i="4" s="1"/>
  <c r="F12" i="4" s="1"/>
  <c r="D11" i="4"/>
  <c r="E10" i="4"/>
  <c r="F10" i="4" s="1"/>
  <c r="D10" i="4"/>
  <c r="D9" i="4"/>
  <c r="E9" i="4" s="1"/>
  <c r="F9" i="4" s="1"/>
  <c r="D8" i="4"/>
  <c r="D7" i="4"/>
  <c r="E7" i="4" s="1"/>
  <c r="F7" i="4" s="1"/>
  <c r="D6" i="4"/>
  <c r="J3" i="4"/>
  <c r="I3" i="4"/>
  <c r="P16" i="5"/>
  <c r="N16" i="5"/>
  <c r="E1" i="5" s="1"/>
  <c r="F13" i="5"/>
  <c r="F6" i="5"/>
  <c r="M31" i="3"/>
  <c r="L31" i="3"/>
  <c r="K31" i="3"/>
  <c r="M27" i="3"/>
  <c r="L27" i="3"/>
  <c r="K27" i="3"/>
  <c r="E6" i="4" l="1"/>
  <c r="F6" i="4" s="1"/>
  <c r="E13" i="4"/>
  <c r="F13" i="4" s="1"/>
  <c r="E26" i="4" s="1"/>
  <c r="E8" i="4"/>
  <c r="F8" i="4" s="1"/>
  <c r="E25" i="4" s="1"/>
  <c r="E11" i="4"/>
  <c r="F11" i="4" s="1"/>
  <c r="E28" i="4" s="1"/>
  <c r="I11" i="6"/>
  <c r="J11" i="6"/>
  <c r="I12" i="6"/>
  <c r="J12" i="6"/>
  <c r="E12" i="6"/>
  <c r="G13" i="6" s="1"/>
  <c r="H13" i="6" s="1"/>
  <c r="F12" i="6"/>
  <c r="L3" i="6"/>
  <c r="F11" i="6"/>
  <c r="L2" i="6"/>
  <c r="L1" i="6"/>
  <c r="L4" i="6"/>
  <c r="E27" i="4"/>
  <c r="F16" i="5"/>
  <c r="F12" i="5"/>
  <c r="F8" i="5"/>
  <c r="F17" i="5"/>
  <c r="F15" i="5"/>
  <c r="F10" i="5"/>
  <c r="D17" i="5"/>
  <c r="F14" i="5"/>
  <c r="F9" i="5"/>
  <c r="F7" i="5"/>
  <c r="E2" i="5"/>
  <c r="E17" i="5" s="1"/>
  <c r="F11" i="5"/>
  <c r="D13" i="6" l="1"/>
  <c r="E13" i="6" s="1"/>
  <c r="G14" i="6" s="1"/>
  <c r="H14" i="6" s="1"/>
  <c r="F29" i="4"/>
  <c r="G28" i="4" s="1"/>
  <c r="J13" i="6"/>
  <c r="I13" i="6"/>
  <c r="F13" i="6"/>
  <c r="G20" i="4"/>
  <c r="K20" i="4" s="1"/>
  <c r="G11" i="4"/>
  <c r="G7" i="4"/>
  <c r="G15" i="4"/>
  <c r="G25" i="4"/>
  <c r="G27" i="4"/>
  <c r="G26" i="4"/>
  <c r="G18" i="5"/>
  <c r="H18" i="5" s="1"/>
  <c r="D18" i="5"/>
  <c r="D14" i="6" l="1"/>
  <c r="J14" i="6"/>
  <c r="I14" i="6"/>
  <c r="G15" i="6"/>
  <c r="H15" i="6" s="1"/>
  <c r="F14" i="6"/>
  <c r="E14" i="6"/>
  <c r="D15" i="6" s="1"/>
  <c r="H11" i="4"/>
  <c r="K11" i="4"/>
  <c r="H15" i="4"/>
  <c r="K15" i="4"/>
  <c r="G18" i="4"/>
  <c r="K18" i="4" s="1"/>
  <c r="G13" i="4"/>
  <c r="G9" i="4"/>
  <c r="G5" i="4"/>
  <c r="H7" i="4"/>
  <c r="K7" i="4"/>
  <c r="G19" i="4"/>
  <c r="K19" i="4" s="1"/>
  <c r="G10" i="4"/>
  <c r="G6" i="4"/>
  <c r="G14" i="4"/>
  <c r="G31" i="4"/>
  <c r="G4" i="4"/>
  <c r="G17" i="4"/>
  <c r="K17" i="4" s="1"/>
  <c r="G12" i="4"/>
  <c r="G8" i="4"/>
  <c r="M20" i="4"/>
  <c r="N20" i="4" s="1"/>
  <c r="L20" i="4"/>
  <c r="J18" i="5"/>
  <c r="I18" i="5"/>
  <c r="G19" i="5"/>
  <c r="H19" i="5" s="1"/>
  <c r="F18" i="5"/>
  <c r="E18" i="5"/>
  <c r="D19" i="5" s="1"/>
  <c r="F15" i="6" l="1"/>
  <c r="E15" i="6"/>
  <c r="G16" i="6" s="1"/>
  <c r="H16" i="6" s="1"/>
  <c r="J15" i="6"/>
  <c r="I15" i="6"/>
  <c r="M17" i="4"/>
  <c r="L17" i="4"/>
  <c r="H9" i="4"/>
  <c r="K9" i="4"/>
  <c r="H6" i="4"/>
  <c r="K6" i="4"/>
  <c r="L18" i="4"/>
  <c r="M18" i="4"/>
  <c r="N18" i="4" s="1"/>
  <c r="H4" i="4"/>
  <c r="K4" i="4"/>
  <c r="H10" i="4"/>
  <c r="K10" i="4"/>
  <c r="H5" i="4"/>
  <c r="K5" i="4"/>
  <c r="M15" i="4"/>
  <c r="N15" i="4" s="1"/>
  <c r="L15" i="4"/>
  <c r="H8" i="4"/>
  <c r="K8" i="4"/>
  <c r="M19" i="4"/>
  <c r="N19" i="4" s="1"/>
  <c r="L19" i="4"/>
  <c r="H12" i="4"/>
  <c r="K12" i="4"/>
  <c r="H14" i="4"/>
  <c r="K14" i="4"/>
  <c r="M7" i="4"/>
  <c r="N7" i="4" s="1"/>
  <c r="L7" i="4"/>
  <c r="H13" i="4"/>
  <c r="K13" i="4"/>
  <c r="M11" i="4"/>
  <c r="N11" i="4" s="1"/>
  <c r="L11" i="4"/>
  <c r="J19" i="5"/>
  <c r="I19" i="5"/>
  <c r="F19" i="5"/>
  <c r="E19" i="5"/>
  <c r="G20" i="5" s="1"/>
  <c r="H20" i="5" s="1"/>
  <c r="D16" i="6" l="1"/>
  <c r="E16" i="6" s="1"/>
  <c r="D17" i="6" s="1"/>
  <c r="I16" i="6"/>
  <c r="J16" i="6"/>
  <c r="L12" i="4"/>
  <c r="M12" i="4"/>
  <c r="N12" i="4" s="1"/>
  <c r="M4" i="4"/>
  <c r="N4" i="4" s="1"/>
  <c r="L4" i="4"/>
  <c r="L13" i="4"/>
  <c r="M13" i="4"/>
  <c r="N13" i="4" s="1"/>
  <c r="L14" i="4"/>
  <c r="M14" i="4"/>
  <c r="N14" i="4" s="1"/>
  <c r="L10" i="4"/>
  <c r="M10" i="4"/>
  <c r="N10" i="4" s="1"/>
  <c r="M9" i="4"/>
  <c r="N9" i="4" s="1"/>
  <c r="L9" i="4"/>
  <c r="L8" i="4"/>
  <c r="M8" i="4"/>
  <c r="N8" i="4" s="1"/>
  <c r="M5" i="4"/>
  <c r="N5" i="4" s="1"/>
  <c r="L5" i="4"/>
  <c r="M6" i="4"/>
  <c r="N6" i="4" s="1"/>
  <c r="L6" i="4"/>
  <c r="N17" i="4"/>
  <c r="N23" i="4" s="1"/>
  <c r="M23" i="4"/>
  <c r="J20" i="5"/>
  <c r="I20" i="5"/>
  <c r="D20" i="5"/>
  <c r="F16" i="6" l="1"/>
  <c r="F17" i="6"/>
  <c r="E17" i="6"/>
  <c r="G18" i="6" s="1"/>
  <c r="H18" i="6" s="1"/>
  <c r="D18" i="6"/>
  <c r="G17" i="6"/>
  <c r="H17" i="6" s="1"/>
  <c r="E20" i="5"/>
  <c r="G21" i="5" s="1"/>
  <c r="H21" i="5" s="1"/>
  <c r="F20" i="5"/>
  <c r="F18" i="6" l="1"/>
  <c r="E18" i="6"/>
  <c r="D19" i="6" s="1"/>
  <c r="J17" i="6"/>
  <c r="I17" i="6"/>
  <c r="J18" i="6"/>
  <c r="I18" i="6"/>
  <c r="D21" i="5"/>
  <c r="E21" i="5"/>
  <c r="D22" i="5" s="1"/>
  <c r="G22" i="5"/>
  <c r="H22" i="5" s="1"/>
  <c r="F21" i="5"/>
  <c r="I21" i="5"/>
  <c r="J21" i="5"/>
  <c r="G19" i="6" l="1"/>
  <c r="H19" i="6" s="1"/>
  <c r="J19" i="6"/>
  <c r="I19" i="6"/>
  <c r="F19" i="6"/>
  <c r="E19" i="6"/>
  <c r="D20" i="6" s="1"/>
  <c r="F22" i="5"/>
  <c r="E22" i="5"/>
  <c r="G23" i="5" s="1"/>
  <c r="H23" i="5" s="1"/>
  <c r="D23" i="5"/>
  <c r="J22" i="5"/>
  <c r="I22" i="5"/>
  <c r="E20" i="6" l="1"/>
  <c r="D21" i="6" s="1"/>
  <c r="G21" i="6"/>
  <c r="H21" i="6" s="1"/>
  <c r="F20" i="6"/>
  <c r="G20" i="6"/>
  <c r="H20" i="6" s="1"/>
  <c r="J23" i="5"/>
  <c r="I23" i="5"/>
  <c r="E23" i="5"/>
  <c r="D24" i="5" s="1"/>
  <c r="G24" i="5"/>
  <c r="H24" i="5" s="1"/>
  <c r="F23" i="5"/>
  <c r="E21" i="6" l="1"/>
  <c r="D22" i="6" s="1"/>
  <c r="F21" i="6"/>
  <c r="I20" i="6"/>
  <c r="J20" i="6"/>
  <c r="I21" i="6"/>
  <c r="J21" i="6"/>
  <c r="E24" i="5"/>
  <c r="G25" i="5" s="1"/>
  <c r="H25" i="5" s="1"/>
  <c r="F24" i="5"/>
  <c r="D25" i="5"/>
  <c r="I24" i="5"/>
  <c r="J24" i="5"/>
  <c r="G22" i="6" l="1"/>
  <c r="H22" i="6" s="1"/>
  <c r="I22" i="6" s="1"/>
  <c r="M20" i="6" s="1"/>
  <c r="E22" i="6"/>
  <c r="G25" i="6" s="1"/>
  <c r="H25" i="6" s="1"/>
  <c r="G26" i="6"/>
  <c r="H26" i="6" s="1"/>
  <c r="G24" i="6"/>
  <c r="H24" i="6" s="1"/>
  <c r="F22" i="6"/>
  <c r="I25" i="5"/>
  <c r="J25" i="5"/>
  <c r="E25" i="5"/>
  <c r="D26" i="5" s="1"/>
  <c r="F25" i="5"/>
  <c r="J22" i="6" l="1"/>
  <c r="M21" i="6" s="1"/>
  <c r="G27" i="6"/>
  <c r="H27" i="6" s="1"/>
  <c r="J27" i="6"/>
  <c r="I27" i="6"/>
  <c r="K27" i="6" s="1"/>
  <c r="J25" i="6"/>
  <c r="I25" i="6"/>
  <c r="K25" i="6" s="1"/>
  <c r="I26" i="6"/>
  <c r="K26" i="6" s="1"/>
  <c r="J26" i="6"/>
  <c r="I24" i="6"/>
  <c r="J24" i="6"/>
  <c r="G26" i="5"/>
  <c r="H26" i="5" s="1"/>
  <c r="F26" i="5"/>
  <c r="E26" i="5"/>
  <c r="D27" i="5" s="1"/>
  <c r="J26" i="5"/>
  <c r="I26" i="5"/>
  <c r="M25" i="6" l="1"/>
  <c r="M24" i="6"/>
  <c r="K24" i="6"/>
  <c r="M26" i="6" s="1"/>
  <c r="G27" i="5"/>
  <c r="H27" i="5" s="1"/>
  <c r="J27" i="5" s="1"/>
  <c r="G28" i="5"/>
  <c r="H28" i="5" s="1"/>
  <c r="F27" i="5"/>
  <c r="E27" i="5"/>
  <c r="D28" i="5"/>
  <c r="I27" i="5"/>
  <c r="I28" i="5" l="1"/>
  <c r="J28" i="5"/>
  <c r="F28" i="5"/>
  <c r="E28" i="5"/>
  <c r="D29" i="5" s="1"/>
  <c r="G29" i="5"/>
  <c r="H29" i="5" s="1"/>
  <c r="E29" i="5" l="1"/>
  <c r="G30" i="5" s="1"/>
  <c r="H30" i="5" s="1"/>
  <c r="F29" i="5"/>
  <c r="I29" i="5"/>
  <c r="J29" i="5"/>
  <c r="J30" i="5" l="1"/>
  <c r="I30" i="5"/>
  <c r="D30" i="5"/>
  <c r="G31" i="5" l="1"/>
  <c r="H31" i="5" s="1"/>
  <c r="F30" i="5"/>
  <c r="E30" i="5"/>
  <c r="D31" i="5"/>
  <c r="I31" i="5" l="1"/>
  <c r="J31" i="5"/>
  <c r="F31" i="5"/>
  <c r="E31" i="5"/>
  <c r="D32" i="5" s="1"/>
  <c r="G32" i="5" l="1"/>
  <c r="H32" i="5" s="1"/>
  <c r="F32" i="5"/>
  <c r="E32" i="5"/>
  <c r="G33" i="5" s="1"/>
  <c r="H33" i="5" s="1"/>
  <c r="J32" i="5"/>
  <c r="I32" i="5"/>
  <c r="D33" i="5" l="1"/>
  <c r="E33" i="5"/>
  <c r="D34" i="5" s="1"/>
  <c r="G34" i="5"/>
  <c r="H34" i="5" s="1"/>
  <c r="F33" i="5"/>
  <c r="I33" i="5"/>
  <c r="J33" i="5"/>
  <c r="F34" i="5" l="1"/>
  <c r="E34" i="5"/>
  <c r="G35" i="5" s="1"/>
  <c r="H35" i="5" s="1"/>
  <c r="D35" i="5"/>
  <c r="J34" i="5"/>
  <c r="I34" i="5"/>
  <c r="J35" i="5" l="1"/>
  <c r="I35" i="5"/>
  <c r="F35" i="5"/>
  <c r="E35" i="5"/>
  <c r="D36" i="5" s="1"/>
  <c r="E36" i="5" l="1"/>
  <c r="G37" i="5" s="1"/>
  <c r="H37" i="5" s="1"/>
  <c r="F36" i="5"/>
  <c r="G36" i="5"/>
  <c r="H36" i="5" s="1"/>
  <c r="I37" i="5" l="1"/>
  <c r="J37" i="5"/>
  <c r="D37" i="5"/>
  <c r="J36" i="5"/>
  <c r="I36" i="5"/>
  <c r="E37" i="5" l="1"/>
  <c r="G38" i="5" s="1"/>
  <c r="H38" i="5" s="1"/>
  <c r="F37" i="5"/>
  <c r="J38" i="5" l="1"/>
  <c r="I38" i="5"/>
  <c r="D38" i="5"/>
  <c r="F38" i="5" l="1"/>
  <c r="E38" i="5"/>
  <c r="G39" i="5" s="1"/>
  <c r="H39" i="5" s="1"/>
  <c r="D39" i="5"/>
  <c r="J39" i="5" l="1"/>
  <c r="I39" i="5"/>
  <c r="F39" i="5"/>
  <c r="E39" i="5"/>
  <c r="D40" i="5" s="1"/>
  <c r="F40" i="5" l="1"/>
  <c r="E40" i="5"/>
  <c r="G41" i="5" s="1"/>
  <c r="H41" i="5" s="1"/>
  <c r="G40" i="5"/>
  <c r="H40" i="5" s="1"/>
  <c r="D41" i="5" l="1"/>
  <c r="E41" i="5" s="1"/>
  <c r="G42" i="5" s="1"/>
  <c r="H42" i="5" s="1"/>
  <c r="I41" i="5"/>
  <c r="J41" i="5"/>
  <c r="F41" i="5"/>
  <c r="I40" i="5"/>
  <c r="J40" i="5"/>
  <c r="J42" i="5" l="1"/>
  <c r="I42" i="5"/>
  <c r="D42" i="5"/>
  <c r="G43" i="5" l="1"/>
  <c r="H43" i="5" s="1"/>
  <c r="F42" i="5"/>
  <c r="E42" i="5"/>
  <c r="D43" i="5" s="1"/>
  <c r="J43" i="5" l="1"/>
  <c r="I43" i="5"/>
  <c r="F43" i="5"/>
  <c r="E43" i="5"/>
  <c r="G44" i="5" s="1"/>
  <c r="H44" i="5" s="1"/>
  <c r="D44" i="5"/>
  <c r="J44" i="5" l="1"/>
  <c r="I44" i="5"/>
  <c r="E44" i="5"/>
  <c r="G45" i="5" s="1"/>
  <c r="H45" i="5" s="1"/>
  <c r="F44" i="5"/>
  <c r="I45" i="5" l="1"/>
  <c r="J45" i="5"/>
  <c r="D45" i="5"/>
  <c r="E45" i="5" l="1"/>
  <c r="D46" i="5" s="1"/>
  <c r="G46" i="5"/>
  <c r="H46" i="5" s="1"/>
  <c r="F45" i="5"/>
  <c r="F46" i="5" l="1"/>
  <c r="E46" i="5"/>
  <c r="G47" i="5" s="1"/>
  <c r="H47" i="5" s="1"/>
  <c r="D47" i="5"/>
  <c r="J46" i="5"/>
  <c r="I46" i="5"/>
  <c r="J47" i="5" l="1"/>
  <c r="I47" i="5"/>
  <c r="F47" i="5"/>
  <c r="E47" i="5"/>
  <c r="D48" i="5" s="1"/>
  <c r="F48" i="5" l="1"/>
  <c r="E48" i="5"/>
  <c r="G49" i="5" s="1"/>
  <c r="H49" i="5" s="1"/>
  <c r="D49" i="5"/>
  <c r="G48" i="5"/>
  <c r="H48" i="5" s="1"/>
  <c r="J49" i="5" l="1"/>
  <c r="I49" i="5"/>
  <c r="G50" i="5"/>
  <c r="H50" i="5" s="1"/>
  <c r="F49" i="5"/>
  <c r="E49" i="5"/>
  <c r="D50" i="5"/>
  <c r="I48" i="5"/>
  <c r="J48" i="5"/>
  <c r="J50" i="5" l="1"/>
  <c r="I50" i="5"/>
  <c r="E50" i="5"/>
  <c r="G51" i="5" s="1"/>
  <c r="H51" i="5" s="1"/>
  <c r="F50" i="5"/>
  <c r="I51" i="5" l="1"/>
  <c r="J51" i="5"/>
  <c r="D51" i="5"/>
  <c r="F51" i="5" l="1"/>
  <c r="E51" i="5"/>
  <c r="G52" i="5" s="1"/>
  <c r="H52" i="5" s="1"/>
  <c r="D52" i="5"/>
  <c r="I52" i="5" l="1"/>
  <c r="J52" i="5"/>
  <c r="E52" i="5"/>
  <c r="G53" i="5" s="1"/>
  <c r="H53" i="5" s="1"/>
  <c r="F52" i="5"/>
  <c r="J53" i="5" l="1"/>
  <c r="I53" i="5"/>
  <c r="D53" i="5"/>
  <c r="F53" i="5" l="1"/>
  <c r="E53" i="5"/>
  <c r="G54" i="5" s="1"/>
  <c r="H54" i="5" s="1"/>
  <c r="D54" i="5"/>
  <c r="I54" i="5" l="1"/>
  <c r="J54" i="5"/>
  <c r="G55" i="5"/>
  <c r="H55" i="5" s="1"/>
  <c r="F54" i="5"/>
  <c r="E54" i="5"/>
  <c r="D55" i="5"/>
  <c r="J55" i="5" l="1"/>
  <c r="I55" i="5"/>
  <c r="F55" i="5"/>
  <c r="E55" i="5"/>
  <c r="G56" i="5" s="1"/>
  <c r="H56" i="5" s="1"/>
  <c r="D56" i="5" l="1"/>
  <c r="E56" i="5"/>
  <c r="D57" i="5" s="1"/>
  <c r="F56" i="5"/>
  <c r="G57" i="5"/>
  <c r="H57" i="5" s="1"/>
  <c r="I56" i="5"/>
  <c r="J56" i="5"/>
  <c r="F57" i="5" l="1"/>
  <c r="E57" i="5"/>
  <c r="G58" i="5" s="1"/>
  <c r="H58" i="5" s="1"/>
  <c r="D58" i="5"/>
  <c r="J57" i="5"/>
  <c r="I57" i="5"/>
  <c r="J58" i="5" l="1"/>
  <c r="I58" i="5"/>
  <c r="F58" i="5"/>
  <c r="E58" i="5"/>
  <c r="G59" i="5" s="1"/>
  <c r="H59" i="5" s="1"/>
  <c r="J59" i="5" l="1"/>
  <c r="I59" i="5"/>
  <c r="D59" i="5"/>
  <c r="F59" i="5" l="1"/>
  <c r="E59" i="5"/>
  <c r="G60" i="5"/>
  <c r="H60" i="5" s="1"/>
  <c r="D60" i="5"/>
  <c r="E60" i="5" l="1"/>
  <c r="G61" i="5" s="1"/>
  <c r="H61" i="5" s="1"/>
  <c r="F60" i="5"/>
  <c r="D61" i="5"/>
  <c r="I60" i="5"/>
  <c r="J60" i="5"/>
  <c r="F61" i="5" l="1"/>
  <c r="E61" i="5"/>
  <c r="D62" i="5" s="1"/>
  <c r="J61" i="5"/>
  <c r="I61" i="5"/>
  <c r="F62" i="5" l="1"/>
  <c r="E62" i="5"/>
  <c r="G63" i="5"/>
  <c r="H63" i="5" s="1"/>
  <c r="D63" i="5"/>
  <c r="G62" i="5"/>
  <c r="H62" i="5" s="1"/>
  <c r="J63" i="5" l="1"/>
  <c r="I63" i="5"/>
  <c r="E63" i="5"/>
  <c r="D64" i="5" s="1"/>
  <c r="F63" i="5"/>
  <c r="J62" i="5"/>
  <c r="I62" i="5"/>
  <c r="E64" i="5" l="1"/>
  <c r="G65" i="5" s="1"/>
  <c r="H65" i="5" s="1"/>
  <c r="F64" i="5"/>
  <c r="G64" i="5"/>
  <c r="H64" i="5" s="1"/>
  <c r="D65" i="5" l="1"/>
  <c r="F65" i="5" s="1"/>
  <c r="J65" i="5"/>
  <c r="I65" i="5"/>
  <c r="I64" i="5"/>
  <c r="J64" i="5"/>
  <c r="E65" i="5" l="1"/>
  <c r="D66" i="5" s="1"/>
  <c r="E66" i="5" s="1"/>
  <c r="D67" i="5" l="1"/>
  <c r="E67" i="5" s="1"/>
  <c r="D68" i="5" s="1"/>
  <c r="F66" i="5"/>
  <c r="G67" i="5"/>
  <c r="H67" i="5" s="1"/>
  <c r="J67" i="5" s="1"/>
  <c r="G66" i="5"/>
  <c r="H66" i="5" s="1"/>
  <c r="F67" i="5"/>
  <c r="J66" i="5"/>
  <c r="I66" i="5"/>
  <c r="I67" i="5"/>
  <c r="E68" i="5" l="1"/>
  <c r="G69" i="5" s="1"/>
  <c r="H69" i="5" s="1"/>
  <c r="F68" i="5"/>
  <c r="G68" i="5"/>
  <c r="H68" i="5" s="1"/>
  <c r="D69" i="5" l="1"/>
  <c r="E69" i="5" s="1"/>
  <c r="J69" i="5"/>
  <c r="I69" i="5"/>
  <c r="I68" i="5"/>
  <c r="J68" i="5"/>
  <c r="G70" i="5" l="1"/>
  <c r="H70" i="5" s="1"/>
  <c r="J70" i="5" s="1"/>
  <c r="F69" i="5"/>
  <c r="D70" i="5"/>
  <c r="F70" i="5"/>
  <c r="G71" i="5" l="1"/>
  <c r="H71" i="5" s="1"/>
  <c r="I71" i="5" s="1"/>
  <c r="E70" i="5"/>
  <c r="D71" i="5" s="1"/>
  <c r="I70" i="5"/>
  <c r="F71" i="5"/>
  <c r="E71" i="5"/>
  <c r="G72" i="5" s="1"/>
  <c r="H72" i="5" s="1"/>
  <c r="J71" i="5" l="1"/>
  <c r="D72" i="5"/>
  <c r="I72" i="5"/>
  <c r="J72" i="5"/>
  <c r="E72" i="5"/>
  <c r="G73" i="5" s="1"/>
  <c r="H73" i="5" s="1"/>
  <c r="F72" i="5"/>
  <c r="J73" i="5" l="1"/>
  <c r="I73" i="5"/>
  <c r="D73" i="5"/>
  <c r="F73" i="5" l="1"/>
  <c r="E73" i="5"/>
  <c r="G74" i="5" s="1"/>
  <c r="H74" i="5" s="1"/>
  <c r="D74" i="5"/>
  <c r="J74" i="5" l="1"/>
  <c r="I74" i="5"/>
  <c r="F74" i="5"/>
  <c r="E74" i="5"/>
  <c r="G75" i="5" s="1"/>
  <c r="H75" i="5" s="1"/>
  <c r="J75" i="5" l="1"/>
  <c r="I75" i="5"/>
  <c r="D75" i="5"/>
  <c r="F75" i="5" l="1"/>
  <c r="E75" i="5"/>
  <c r="G76" i="5"/>
  <c r="H76" i="5" s="1"/>
  <c r="D76" i="5"/>
  <c r="E76" i="5" l="1"/>
  <c r="G77" i="5" s="1"/>
  <c r="H77" i="5" s="1"/>
  <c r="F76" i="5"/>
  <c r="D77" i="5"/>
  <c r="I76" i="5"/>
  <c r="J76" i="5"/>
  <c r="F77" i="5" l="1"/>
  <c r="E77" i="5"/>
  <c r="D78" i="5" s="1"/>
  <c r="J77" i="5"/>
  <c r="I77" i="5"/>
  <c r="F78" i="5" l="1"/>
  <c r="E78" i="5"/>
  <c r="G79" i="5"/>
  <c r="H79" i="5" s="1"/>
  <c r="D79" i="5"/>
  <c r="G78" i="5"/>
  <c r="H78" i="5" s="1"/>
  <c r="E79" i="5" l="1"/>
  <c r="G80" i="5"/>
  <c r="H80" i="5" s="1"/>
  <c r="F79" i="5"/>
  <c r="D80" i="5"/>
  <c r="J79" i="5"/>
  <c r="I79" i="5"/>
  <c r="J78" i="5"/>
  <c r="I78" i="5"/>
  <c r="E80" i="5" l="1"/>
  <c r="G81" i="5"/>
  <c r="H81" i="5" s="1"/>
  <c r="F80" i="5"/>
  <c r="D81" i="5"/>
  <c r="I80" i="5"/>
  <c r="J80" i="5"/>
  <c r="F81" i="5" l="1"/>
  <c r="E81" i="5"/>
  <c r="G82" i="5" s="1"/>
  <c r="H82" i="5" s="1"/>
  <c r="D82" i="5"/>
  <c r="J81" i="5"/>
  <c r="I81" i="5"/>
  <c r="J82" i="5" l="1"/>
  <c r="I82" i="5"/>
  <c r="E82" i="5"/>
  <c r="D83" i="5" s="1"/>
  <c r="G83" i="5"/>
  <c r="H83" i="5" s="1"/>
  <c r="F82" i="5"/>
  <c r="F83" i="5" l="1"/>
  <c r="E83" i="5"/>
  <c r="G84" i="5" s="1"/>
  <c r="H84" i="5" s="1"/>
  <c r="D84" i="5"/>
  <c r="I83" i="5"/>
  <c r="J83" i="5"/>
  <c r="I84" i="5" l="1"/>
  <c r="J84" i="5"/>
  <c r="E84" i="5"/>
  <c r="G85" i="5" s="1"/>
  <c r="H85" i="5" s="1"/>
  <c r="F84" i="5"/>
  <c r="J85" i="5" l="1"/>
  <c r="I85" i="5"/>
  <c r="D85" i="5"/>
  <c r="F85" i="5" l="1"/>
  <c r="E85" i="5"/>
  <c r="G86" i="5" s="1"/>
  <c r="H86" i="5" s="1"/>
  <c r="D86" i="5"/>
  <c r="I86" i="5" l="1"/>
  <c r="J86" i="5"/>
  <c r="G87" i="5"/>
  <c r="H87" i="5" s="1"/>
  <c r="F86" i="5"/>
  <c r="E86" i="5"/>
  <c r="D87" i="5"/>
  <c r="J87" i="5" l="1"/>
  <c r="I87" i="5"/>
  <c r="F87" i="5"/>
  <c r="E87" i="5"/>
  <c r="G88" i="5" s="1"/>
  <c r="H88" i="5" s="1"/>
  <c r="I88" i="5" l="1"/>
  <c r="J88" i="5"/>
  <c r="D88" i="5"/>
  <c r="E88" i="5" l="1"/>
  <c r="F88" i="5"/>
  <c r="G89" i="5"/>
  <c r="H89" i="5" s="1"/>
  <c r="D89" i="5"/>
  <c r="F89" i="5" l="1"/>
  <c r="G92" i="5"/>
  <c r="H92" i="5" s="1"/>
  <c r="G102" i="5"/>
  <c r="H102" i="5" s="1"/>
  <c r="G98" i="5"/>
  <c r="H98" i="5" s="1"/>
  <c r="E89" i="5"/>
  <c r="G101" i="5" s="1"/>
  <c r="H101" i="5" s="1"/>
  <c r="J89" i="5"/>
  <c r="I89" i="5"/>
  <c r="J101" i="5" l="1"/>
  <c r="I101" i="5"/>
  <c r="J92" i="5"/>
  <c r="I92" i="5"/>
  <c r="G91" i="5"/>
  <c r="H91" i="5" s="1"/>
  <c r="G93" i="5"/>
  <c r="H93" i="5" s="1"/>
  <c r="G96" i="5"/>
  <c r="H96" i="5" s="1"/>
  <c r="J98" i="5"/>
  <c r="I98" i="5"/>
  <c r="J102" i="5"/>
  <c r="I102" i="5"/>
  <c r="G99" i="5"/>
  <c r="H99" i="5" s="1"/>
  <c r="G97" i="5"/>
  <c r="H97" i="5" s="1"/>
  <c r="G100" i="5"/>
  <c r="H100" i="5" s="1"/>
  <c r="G95" i="5"/>
  <c r="H95" i="5" s="1"/>
  <c r="G94" i="5"/>
  <c r="H94" i="5" s="1"/>
  <c r="J99" i="5" l="1"/>
  <c r="I99" i="5"/>
  <c r="J95" i="5"/>
  <c r="I95" i="5"/>
  <c r="J96" i="5"/>
  <c r="I96" i="5"/>
  <c r="J94" i="5"/>
  <c r="I94" i="5"/>
  <c r="J100" i="5"/>
  <c r="I100" i="5"/>
  <c r="J93" i="5"/>
  <c r="I93" i="5"/>
  <c r="J97" i="5"/>
  <c r="I97" i="5"/>
  <c r="J91" i="5"/>
  <c r="I91" i="5"/>
  <c r="D17" i="3" l="1"/>
  <c r="D16" i="3"/>
  <c r="D15" i="3"/>
  <c r="D14" i="3"/>
  <c r="D13" i="3"/>
  <c r="D12" i="3"/>
  <c r="D11" i="3"/>
  <c r="D10" i="3"/>
  <c r="D9" i="3"/>
  <c r="D8" i="3"/>
  <c r="D7" i="3"/>
  <c r="D6" i="3"/>
  <c r="D5" i="3"/>
  <c r="H15" i="1"/>
  <c r="H11" i="1"/>
  <c r="H7" i="1"/>
  <c r="H3" i="1"/>
  <c r="G15" i="1"/>
  <c r="G11" i="1"/>
  <c r="G7" i="1"/>
  <c r="G3" i="1"/>
  <c r="E11" i="3" l="1"/>
  <c r="F11" i="3" s="1"/>
  <c r="E15" i="3"/>
  <c r="F15" i="3" s="1"/>
  <c r="E8" i="3"/>
  <c r="F8" i="3" s="1"/>
  <c r="E16" i="3"/>
  <c r="F16" i="3" s="1"/>
  <c r="E9" i="3"/>
  <c r="F9" i="3" s="1"/>
  <c r="E6" i="3"/>
  <c r="F6" i="3" s="1"/>
  <c r="E12" i="3"/>
  <c r="F12" i="3" s="1"/>
  <c r="E7" i="3"/>
  <c r="F7" i="3" s="1"/>
  <c r="E10" i="3"/>
  <c r="F10" i="3" s="1"/>
  <c r="E14" i="3"/>
  <c r="F14" i="3" s="1"/>
  <c r="E5" i="3"/>
  <c r="F5" i="3" s="1"/>
  <c r="E13" i="3"/>
  <c r="F13" i="3" s="1"/>
  <c r="Q11" i="3" l="1"/>
  <c r="Q10" i="3"/>
  <c r="Q12" i="3"/>
  <c r="Q9" i="3"/>
  <c r="R13" i="3" l="1"/>
  <c r="S11" i="3" s="1"/>
  <c r="G22" i="3" s="1"/>
  <c r="G17" i="3" l="1"/>
  <c r="H17" i="3" s="1"/>
  <c r="G13" i="3"/>
  <c r="I13" i="3" s="1"/>
  <c r="J13" i="3" s="1"/>
  <c r="G9" i="3"/>
  <c r="I9" i="3" s="1"/>
  <c r="J9" i="3" s="1"/>
  <c r="G5" i="3"/>
  <c r="I5" i="3" s="1"/>
  <c r="J5" i="3" s="1"/>
  <c r="S9" i="3"/>
  <c r="S10" i="3"/>
  <c r="G21" i="3" s="1"/>
  <c r="I21" i="3" s="1"/>
  <c r="J21" i="3" s="1"/>
  <c r="S12" i="3"/>
  <c r="G23" i="3" s="1"/>
  <c r="I22" i="3"/>
  <c r="J22" i="3" s="1"/>
  <c r="I17" i="3" l="1"/>
  <c r="J17" i="3" s="1"/>
  <c r="L17" i="3" s="1"/>
  <c r="H5" i="3"/>
  <c r="L13" i="3"/>
  <c r="K13" i="3"/>
  <c r="M13" i="3" s="1"/>
  <c r="G20" i="3"/>
  <c r="P15" i="3"/>
  <c r="L21" i="3"/>
  <c r="K21" i="3"/>
  <c r="M21" i="3" s="1"/>
  <c r="L5" i="3"/>
  <c r="K5" i="3"/>
  <c r="M5" i="3" s="1"/>
  <c r="K22" i="3"/>
  <c r="M22" i="3" s="1"/>
  <c r="L22" i="3"/>
  <c r="L9" i="3"/>
  <c r="K9" i="3"/>
  <c r="M9" i="3" s="1"/>
  <c r="G18" i="3"/>
  <c r="I18" i="3" s="1"/>
  <c r="J18" i="3" s="1"/>
  <c r="G14" i="3"/>
  <c r="H14" i="3" s="1"/>
  <c r="G10" i="3"/>
  <c r="G6" i="3"/>
  <c r="I6" i="3" s="1"/>
  <c r="J6" i="3" s="1"/>
  <c r="G16" i="3"/>
  <c r="I16" i="3" s="1"/>
  <c r="J16" i="3" s="1"/>
  <c r="G12" i="3"/>
  <c r="I12" i="3" s="1"/>
  <c r="J12" i="3" s="1"/>
  <c r="G8" i="3"/>
  <c r="H8" i="3" s="1"/>
  <c r="G4" i="3"/>
  <c r="I4" i="3" s="1"/>
  <c r="J4" i="3" s="1"/>
  <c r="G15" i="3"/>
  <c r="I15" i="3" s="1"/>
  <c r="J15" i="3" s="1"/>
  <c r="G11" i="3"/>
  <c r="I11" i="3" s="1"/>
  <c r="J11" i="3" s="1"/>
  <c r="G7" i="3"/>
  <c r="I7" i="3" s="1"/>
  <c r="J7" i="3" s="1"/>
  <c r="G3" i="3"/>
  <c r="H9" i="3"/>
  <c r="H13" i="3"/>
  <c r="I10" i="3"/>
  <c r="J10" i="3" s="1"/>
  <c r="I23" i="3"/>
  <c r="J23" i="3" s="1"/>
  <c r="I20" i="3"/>
  <c r="J20" i="3" s="1"/>
  <c r="H12" i="3"/>
  <c r="H7" i="3"/>
  <c r="K17" i="3" l="1"/>
  <c r="M17" i="3" s="1"/>
  <c r="K10" i="3"/>
  <c r="M10" i="3" s="1"/>
  <c r="L10" i="3"/>
  <c r="K4" i="3"/>
  <c r="M4" i="3" s="1"/>
  <c r="L4" i="3"/>
  <c r="K6" i="3"/>
  <c r="M6" i="3" s="1"/>
  <c r="L6" i="3"/>
  <c r="L7" i="3"/>
  <c r="K7" i="3"/>
  <c r="M7" i="3" s="1"/>
  <c r="K20" i="3"/>
  <c r="M20" i="3" s="1"/>
  <c r="L20" i="3"/>
  <c r="L11" i="3"/>
  <c r="K11" i="3"/>
  <c r="M11" i="3" s="1"/>
  <c r="K12" i="3"/>
  <c r="M12" i="3" s="1"/>
  <c r="L12" i="3"/>
  <c r="L23" i="3"/>
  <c r="K23" i="3"/>
  <c r="M23" i="3" s="1"/>
  <c r="L15" i="3"/>
  <c r="K15" i="3"/>
  <c r="M15" i="3" s="1"/>
  <c r="K16" i="3"/>
  <c r="M16" i="3" s="1"/>
  <c r="L16" i="3"/>
  <c r="K18" i="3"/>
  <c r="M18" i="3" s="1"/>
  <c r="L18" i="3"/>
  <c r="H4" i="3"/>
  <c r="H16" i="3"/>
  <c r="H11" i="3"/>
  <c r="H15" i="3"/>
  <c r="H6" i="3"/>
  <c r="I8" i="3"/>
  <c r="J8" i="3" s="1"/>
  <c r="I14" i="3"/>
  <c r="J14" i="3" s="1"/>
  <c r="H18" i="3"/>
  <c r="H10" i="3"/>
  <c r="I3" i="3"/>
  <c r="J3" i="3" s="1"/>
  <c r="H3" i="3"/>
  <c r="K14" i="3" l="1"/>
  <c r="M14" i="3" s="1"/>
  <c r="L14" i="3"/>
  <c r="L3" i="3"/>
  <c r="K3" i="3"/>
  <c r="M3" i="3" s="1"/>
  <c r="K8" i="3"/>
  <c r="M8" i="3" s="1"/>
  <c r="L8" i="3"/>
</calcChain>
</file>

<file path=xl/sharedStrings.xml><?xml version="1.0" encoding="utf-8"?>
<sst xmlns="http://schemas.openxmlformats.org/spreadsheetml/2006/main" count="287" uniqueCount="196">
  <si>
    <t>t</t>
  </si>
  <si>
    <t>Q1-01</t>
  </si>
  <si>
    <t>Q2-01</t>
  </si>
  <si>
    <t>Q3-01</t>
  </si>
  <si>
    <t>Q4-01</t>
  </si>
  <si>
    <t>Q1-02</t>
  </si>
  <si>
    <t>Q2-02</t>
  </si>
  <si>
    <t>Q3-02</t>
  </si>
  <si>
    <t>Q4-02</t>
  </si>
  <si>
    <t>Q1-03</t>
  </si>
  <si>
    <t>Q2-03</t>
  </si>
  <si>
    <t>Q3-03</t>
  </si>
  <si>
    <t>Q4-03</t>
  </si>
  <si>
    <t>Q1-04</t>
  </si>
  <si>
    <t>Q2-04</t>
  </si>
  <si>
    <t>Q3-04</t>
  </si>
  <si>
    <t>Q4-04</t>
  </si>
  <si>
    <t>Yt</t>
  </si>
  <si>
    <t>1. Anàlisis de les fluctuacions a partir de la representació gràfica de la sèrie.</t>
  </si>
  <si>
    <t xml:space="preserve">Sembla que les oscil·lacions inter-anuals creixen en fer-ho la tendència. La sèrie "explota". </t>
  </si>
  <si>
    <t xml:space="preserve">Per tant, sembla ser un esquema d'integració multiplicatiu. (Si les fluctiacions són més o </t>
  </si>
  <si>
    <t>menys regulars, seria un esquema aditiu).</t>
  </si>
  <si>
    <t>Per acabar de confirmar-ho cal fer el gràfic demitjanes-desviacions típiques.</t>
  </si>
  <si>
    <t>2. Gràfic mitjanes-desviacions.</t>
  </si>
  <si>
    <t>Càlculs previs:</t>
  </si>
  <si>
    <t>Mitjana Anual</t>
  </si>
  <si>
    <t>Desviació típica anual</t>
  </si>
  <si>
    <t>Desv. Típica Anual</t>
  </si>
  <si>
    <t xml:space="preserve"> </t>
  </si>
  <si>
    <t>Dades:</t>
  </si>
  <si>
    <t>Dades anuals (per al gràfic 2):</t>
  </si>
  <si>
    <t>Any 01</t>
  </si>
  <si>
    <t>Any 02</t>
  </si>
  <si>
    <t>Any 03</t>
  </si>
  <si>
    <t>Any 04</t>
  </si>
  <si>
    <t xml:space="preserve">La recta que uneix els 4 punts té pendent (no és horitzontal) podem concloure que </t>
  </si>
  <si>
    <t>l'esquema d'integració és multiplicatiu.</t>
  </si>
  <si>
    <t>independents i diem que l'esquema és l'aditiu.</t>
  </si>
  <si>
    <t xml:space="preserve">Si els punts són aleatoris (recta horitzontal) és  perquè la tendecia i l'estacionalitat són </t>
  </si>
  <si>
    <t>Passes per fer el gràfic:</t>
  </si>
  <si>
    <t>1. Seleccionar columna "Desviació típica anual" (el nom de la columna també).</t>
  </si>
  <si>
    <t xml:space="preserve">2. Fer: Insertar &gt; Gráficos recomendados &gt; XY Dispersion i triar el primer). </t>
  </si>
  <si>
    <t>3. Sobre el gràfic pitjar boto dret i fer: Seleccionar datos &gt; Modificar &gt; Valores X de la serie.</t>
  </si>
  <si>
    <t>4. Seleccionar la columna "Mitjana Anual" (el nom de la columna no!).</t>
  </si>
  <si>
    <t>5. En el mes (+), seleccionar "Línia de tendencia" i dos cops "Línias de cuadrícula".</t>
  </si>
  <si>
    <t>6. Opcionalment, afegir nom als eixos i al gràfic (també en el símbol +).</t>
  </si>
  <si>
    <t>K=4 (perquè la ST és trimestral!!!)</t>
  </si>
  <si>
    <t>IVEN</t>
  </si>
  <si>
    <t>Desestacionalització</t>
  </si>
  <si>
    <t>Vendes (Yt)</t>
  </si>
  <si>
    <t>MM(4)</t>
  </si>
  <si>
    <t>MMC</t>
  </si>
  <si>
    <t>Yt-Tt(1)</t>
  </si>
  <si>
    <t>Si^</t>
  </si>
  <si>
    <t>Tt(2)</t>
  </si>
  <si>
    <t>B1</t>
  </si>
  <si>
    <t>B0</t>
  </si>
  <si>
    <t>Predicció</t>
  </si>
  <si>
    <t>1999TI</t>
  </si>
  <si>
    <t>1999TII</t>
  </si>
  <si>
    <t>1999TIII</t>
  </si>
  <si>
    <t>1999TIV</t>
  </si>
  <si>
    <t>2000TI</t>
  </si>
  <si>
    <t>2000TII</t>
  </si>
  <si>
    <t>2000TIII</t>
  </si>
  <si>
    <t>2000TIV</t>
  </si>
  <si>
    <t>2001TI</t>
  </si>
  <si>
    <t>2001TII</t>
  </si>
  <si>
    <t>2001TIII</t>
  </si>
  <si>
    <t>2001TIV</t>
  </si>
  <si>
    <t>2002TI</t>
  </si>
  <si>
    <t>2002TII</t>
  </si>
  <si>
    <t>2002TIII</t>
  </si>
  <si>
    <t>2002TIV</t>
  </si>
  <si>
    <t>2003TI</t>
  </si>
  <si>
    <t>2003TII</t>
  </si>
  <si>
    <t>2003TIII</t>
  </si>
  <si>
    <t>2003TIV</t>
  </si>
  <si>
    <t>S*i-barra</t>
  </si>
  <si>
    <t>S-barra</t>
  </si>
  <si>
    <t>I</t>
  </si>
  <si>
    <t>II</t>
  </si>
  <si>
    <t>III</t>
  </si>
  <si>
    <t>IV</t>
  </si>
  <si>
    <t>Suma(IVENi)=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</si>
  <si>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</si>
  <si>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</si>
  <si>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</si>
  <si>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</si>
  <si>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</si>
  <si>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</si>
  <si>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</si>
  <si>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</si>
  <si>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Grados de libertad</t>
  </si>
  <si>
    <t>Suma de cuadrados</t>
  </si>
  <si>
    <t>Promedio de los cuadrados</t>
  </si>
  <si>
    <t>F</t>
  </si>
  <si>
    <t>Valor crítico de F</t>
  </si>
  <si>
    <t>Regresión</t>
  </si>
  <si>
    <t>Residuos</t>
  </si>
  <si>
    <t>Total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</si>
  <si>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</si>
  <si>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</si>
  <si>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</si>
  <si>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</si>
  <si>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</si>
  <si>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</si>
  <si>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</si>
  <si>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Intercepción</t>
  </si>
  <si>
    <t>Variable X 1</t>
  </si>
  <si>
    <t>Beta 0 =</t>
  </si>
  <si>
    <t>Beta 1 =</t>
  </si>
  <si>
    <t>COMENTARIS:</t>
  </si>
  <si>
    <t>Predicció:</t>
  </si>
  <si>
    <t>1. S'ha de fer una regressió lineal.</t>
  </si>
  <si>
    <t>1. File &gt; Options &gt;Add-ins &gt;Manage Excell Add-ins &gt; Go &gt; Activar les dues primeres (analisis)</t>
  </si>
  <si>
    <t>2. Data &gt; Data Analisis &gt; Regression &gt; Y= Yt i X=t</t>
  </si>
  <si>
    <t>3. Només ens interessen les dades:</t>
  </si>
  <si>
    <t>.=beta0</t>
  </si>
  <si>
    <t>.=beta1</t>
  </si>
  <si>
    <t xml:space="preserve">Error: </t>
  </si>
  <si>
    <t>Yt - Predicció</t>
  </si>
  <si>
    <t>EPAM:</t>
  </si>
  <si>
    <t>Abs(error) /Abs(Yt)</t>
  </si>
  <si>
    <t>Errors mitjans:</t>
  </si>
  <si>
    <t>PROMEDIO(valors)</t>
  </si>
  <si>
    <t>Gràfica:</t>
  </si>
  <si>
    <t>1. Seleccionar TOTES les files de les columnes Yt i Predicció</t>
  </si>
  <si>
    <t>2. Insertar &gt; Gráficos Recomendados &gt; Tolos los gráficos &gt; Líneas (1ª o 4ª opció)</t>
  </si>
  <si>
    <r>
      <rPr>
        <u/>
        <sz val="11"/>
        <color theme="1"/>
        <rFont val="Calibri Light"/>
        <family val="2"/>
        <scheme val="major"/>
      </rPr>
      <t>Capacitat predictiva:</t>
    </r>
    <r>
      <rPr>
        <sz val="11"/>
        <color theme="1"/>
        <rFont val="Calibri Light"/>
        <family val="2"/>
        <scheme val="major"/>
      </rPr>
      <t xml:space="preserve"> "Per al període mostral tenim un EPAM del X% o sigui que aquest mètode té una capacitat</t>
    </r>
  </si>
  <si>
    <t>predictiva bona(&lt;3%)/regular(3-5%)/dolenta/(&gt;5%). Ídem per a l'extramostral</t>
  </si>
  <si>
    <t>Càlcul de l'IVEN (Si^):</t>
  </si>
  <si>
    <t>***k=4 (perquè la ST és trimestra, és a dir hi ha k=4 "estacions" cada any)</t>
  </si>
  <si>
    <t>Suma(Si^)=</t>
  </si>
  <si>
    <t>==&gt; Comprovem que la suma dels IVEN és igual a 0!</t>
  </si>
  <si>
    <t>error</t>
  </si>
  <si>
    <t>abs</t>
  </si>
  <si>
    <t>quad</t>
  </si>
  <si>
    <t>EPAM</t>
  </si>
  <si>
    <t>2. Es calculen les prediccions com es pot veure en el recuadre d'adalt!</t>
  </si>
  <si>
    <t>3. Opcionalment, canviar les etiquetes de l'eix X fent boto dret seleccionar datos, rango de valores del eje.</t>
  </si>
  <si>
    <t>Període Mostral</t>
  </si>
  <si>
    <t>EAM</t>
  </si>
  <si>
    <t xml:space="preserve">EQM </t>
  </si>
  <si>
    <t>Període Extra-Mostral</t>
  </si>
  <si>
    <t>ATENCIÓ! RECORDAR QUE NOMÉS S'HA DE CALCULAR L'EPAM DEL MÈTODE AMB EQM I EAM MÉS PETIT!</t>
  </si>
  <si>
    <t>En aquest cas, per exemple:</t>
  </si>
  <si>
    <t>Període extra mostral, igual EAM en els dos casos però millor EQM del mètode 1</t>
  </si>
  <si>
    <t>Període mostral, millor EAM i millor EQM del mètode 2</t>
  </si>
  <si>
    <t>Per tant, per al període extra-mostral és millor el Mètode 1</t>
  </si>
  <si>
    <t>alpha</t>
  </si>
  <si>
    <t>T_0</t>
  </si>
  <si>
    <t>gamma</t>
  </si>
  <si>
    <t>Beta_1(0)</t>
  </si>
  <si>
    <t>delta</t>
  </si>
  <si>
    <t>Període</t>
  </si>
  <si>
    <t>Tend</t>
  </si>
  <si>
    <t>Pend</t>
  </si>
  <si>
    <t>Estac</t>
  </si>
  <si>
    <t>Pred</t>
  </si>
  <si>
    <t>Yt-pred</t>
  </si>
  <si>
    <t>abs(error)</t>
  </si>
  <si>
    <t>error^2</t>
  </si>
  <si>
    <t>Mitjana primer any</t>
  </si>
  <si>
    <t>Mitjana segon any</t>
  </si>
  <si>
    <t>Muestral</t>
  </si>
  <si>
    <t>EQM</t>
  </si>
  <si>
    <t>Extra-muestral</t>
  </si>
  <si>
    <t>MMC=Tt(1)</t>
  </si>
  <si>
    <t>Yt/Tt(1)</t>
  </si>
  <si>
    <t>Si^ (IVEN)</t>
  </si>
  <si>
    <t>ABS</t>
  </si>
  <si>
    <t>QUAD</t>
  </si>
  <si>
    <t>2007.I</t>
  </si>
  <si>
    <t>2007.II</t>
  </si>
  <si>
    <t>2007.III</t>
  </si>
  <si>
    <t>2007.IV</t>
  </si>
  <si>
    <t>2008.I</t>
  </si>
  <si>
    <t>2008.II</t>
  </si>
  <si>
    <t>2008.III</t>
  </si>
  <si>
    <t>2008.IV</t>
  </si>
  <si>
    <t>2009.I</t>
  </si>
  <si>
    <t>2009.II</t>
  </si>
  <si>
    <t>2009.III</t>
  </si>
  <si>
    <t>2009.IV</t>
  </si>
  <si>
    <t>2010.I</t>
  </si>
  <si>
    <t>2010.II</t>
  </si>
  <si>
    <t>2010.III</t>
  </si>
  <si>
    <t>2010.IV</t>
  </si>
  <si>
    <t>Si-barra</t>
  </si>
  <si>
    <t>==&gt; Comprovem que la suma dels IVEN és igual al nombre d'estacions</t>
  </si>
  <si>
    <t>S_1(0)</t>
  </si>
  <si>
    <t>S_2(0)</t>
  </si>
  <si>
    <t>S_3(0)</t>
  </si>
  <si>
    <t>S_4(0)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</si>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</sst>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0.0000"/>
    <numFmt numFmtId="167" formatCode="0.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  <font>
      <sz val="12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0"/>
      <name val="Arial"/>
      <family val="2"/>
    </font>
    <font>
      <b/>
      <sz val="12"/>
      <name val="Calibri Light"/>
      <family val="2"/>
      <scheme val="major"/>
    </font>
    <font>
      <b/>
      <sz val="11"/>
      <name val="Calibri Light"/>
      <family val="2"/>
      <scheme val="major"/>
    </font>
    <font>
      <u/>
      <sz val="11"/>
      <color theme="1"/>
      <name val="Calibri"/>
      <family val="2"/>
      <scheme val="minor"/>
    </font>
    <font>
      <u/>
      <sz val="11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2"/>
      <color rgb="FFFF0000"/>
      <name val="Calibri Light"/>
      <family val="2"/>
      <scheme val="major"/>
    </font>
    <font>
      <i/>
      <sz val="12"/>
      <name val="Calibri Light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8AEAE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1"/>
      </left>
      <right/>
      <top/>
      <bottom/>
      <diagonal/>
    </border>
    <border>
      <left style="thin">
        <color indexed="21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3" fillId="0" borderId="0"/>
  </cellStyleXfs>
  <cellXfs count="180">
    <xf numFmtId="0" fontId="0" fillId="0" borderId="0" xfId="0"/>
    <xf numFmtId="0" fontId="4" fillId="0" borderId="2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2" xfId="0" applyBorder="1"/>
    <xf numFmtId="0" fontId="7" fillId="0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5" borderId="2" xfId="0" applyNumberFormat="1" applyFill="1" applyBorder="1" applyAlignment="1">
      <alignment horizontal="center"/>
    </xf>
    <xf numFmtId="166" fontId="0" fillId="5" borderId="0" xfId="0" applyNumberFormat="1" applyFill="1" applyAlignment="1">
      <alignment horizontal="center"/>
    </xf>
    <xf numFmtId="166" fontId="0" fillId="5" borderId="2" xfId="0" applyNumberFormat="1" applyFill="1" applyBorder="1" applyAlignment="1">
      <alignment horizontal="center"/>
    </xf>
    <xf numFmtId="0" fontId="2" fillId="0" borderId="0" xfId="0" applyFont="1"/>
    <xf numFmtId="0" fontId="9" fillId="6" borderId="0" xfId="0" applyFont="1" applyFill="1" applyBorder="1" applyAlignment="1">
      <alignment horizontal="left"/>
    </xf>
    <xf numFmtId="0" fontId="12" fillId="6" borderId="0" xfId="0" applyFont="1" applyFill="1"/>
    <xf numFmtId="0" fontId="12" fillId="0" borderId="0" xfId="0" applyFont="1"/>
    <xf numFmtId="0" fontId="0" fillId="0" borderId="0" xfId="0" applyFill="1"/>
    <xf numFmtId="0" fontId="5" fillId="0" borderId="0" xfId="0" applyFont="1"/>
    <xf numFmtId="0" fontId="2" fillId="0" borderId="0" xfId="0" applyFont="1" applyFill="1"/>
    <xf numFmtId="0" fontId="9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right"/>
    </xf>
    <xf numFmtId="0" fontId="9" fillId="0" borderId="0" xfId="0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0" fontId="9" fillId="0" borderId="0" xfId="0" quotePrefix="1" applyFont="1"/>
    <xf numFmtId="0" fontId="14" fillId="0" borderId="0" xfId="0" applyFont="1"/>
    <xf numFmtId="0" fontId="9" fillId="0" borderId="2" xfId="0" applyFont="1" applyFill="1" applyBorder="1" applyAlignment="1">
      <alignment horizontal="center"/>
    </xf>
    <xf numFmtId="164" fontId="9" fillId="0" borderId="2" xfId="0" applyNumberFormat="1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/>
    </xf>
    <xf numFmtId="0" fontId="9" fillId="0" borderId="0" xfId="0" applyFont="1" applyBorder="1"/>
    <xf numFmtId="164" fontId="9" fillId="0" borderId="0" xfId="0" applyNumberFormat="1" applyFont="1" applyBorder="1"/>
    <xf numFmtId="164" fontId="9" fillId="5" borderId="0" xfId="0" applyNumberFormat="1" applyFont="1" applyFill="1" applyBorder="1" applyAlignment="1">
      <alignment horizontal="center"/>
    </xf>
    <xf numFmtId="164" fontId="9" fillId="6" borderId="0" xfId="0" applyNumberFormat="1" applyFont="1" applyFill="1" applyBorder="1" applyAlignment="1">
      <alignment horizontal="center"/>
    </xf>
    <xf numFmtId="0" fontId="9" fillId="9" borderId="10" xfId="0" applyFont="1" applyFill="1" applyBorder="1" applyAlignment="1">
      <alignment horizontal="center" vertical="center"/>
    </xf>
    <xf numFmtId="0" fontId="9" fillId="9" borderId="0" xfId="0" applyFont="1" applyFill="1" applyBorder="1" applyAlignment="1">
      <alignment horizontal="center"/>
    </xf>
    <xf numFmtId="164" fontId="9" fillId="9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vertical="center"/>
    </xf>
    <xf numFmtId="0" fontId="15" fillId="8" borderId="19" xfId="0" applyFont="1" applyFill="1" applyBorder="1" applyAlignment="1">
      <alignment horizontal="right"/>
    </xf>
    <xf numFmtId="0" fontId="15" fillId="8" borderId="20" xfId="0" applyFont="1" applyFill="1" applyBorder="1" applyAlignment="1">
      <alignment horizontal="left"/>
    </xf>
    <xf numFmtId="0" fontId="0" fillId="0" borderId="21" xfId="0" applyBorder="1"/>
    <xf numFmtId="0" fontId="16" fillId="4" borderId="0" xfId="0" applyFont="1" applyFill="1"/>
    <xf numFmtId="0" fontId="11" fillId="4" borderId="0" xfId="0" applyFont="1" applyFill="1"/>
    <xf numFmtId="0" fontId="10" fillId="4" borderId="0" xfId="0" applyFont="1" applyFill="1"/>
    <xf numFmtId="0" fontId="17" fillId="4" borderId="0" xfId="0" applyFont="1" applyFill="1"/>
    <xf numFmtId="0" fontId="18" fillId="4" borderId="4" xfId="0" applyFont="1" applyFill="1" applyBorder="1" applyAlignment="1">
      <alignment horizontal="center"/>
    </xf>
    <xf numFmtId="0" fontId="18" fillId="4" borderId="0" xfId="0" applyFont="1" applyFill="1" applyBorder="1" applyAlignment="1"/>
    <xf numFmtId="0" fontId="18" fillId="4" borderId="2" xfId="0" applyFont="1" applyFill="1" applyBorder="1" applyAlignment="1"/>
    <xf numFmtId="0" fontId="9" fillId="7" borderId="12" xfId="0" applyFont="1" applyFill="1" applyBorder="1" applyAlignment="1">
      <alignment horizontal="center"/>
    </xf>
    <xf numFmtId="0" fontId="9" fillId="7" borderId="13" xfId="0" applyFont="1" applyFill="1" applyBorder="1" applyAlignment="1">
      <alignment horizontal="center"/>
    </xf>
    <xf numFmtId="0" fontId="9" fillId="7" borderId="14" xfId="0" applyFont="1" applyFill="1" applyBorder="1" applyAlignment="1">
      <alignment horizontal="center"/>
    </xf>
    <xf numFmtId="0" fontId="9" fillId="7" borderId="15" xfId="0" applyFont="1" applyFill="1" applyBorder="1" applyAlignment="1">
      <alignment horizontal="center"/>
    </xf>
    <xf numFmtId="164" fontId="9" fillId="7" borderId="0" xfId="0" applyNumberFormat="1" applyFont="1" applyFill="1" applyBorder="1" applyAlignment="1">
      <alignment horizontal="center"/>
    </xf>
    <xf numFmtId="164" fontId="9" fillId="7" borderId="16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164" fontId="9" fillId="7" borderId="1" xfId="0" applyNumberFormat="1" applyFont="1" applyFill="1" applyBorder="1" applyAlignment="1">
      <alignment horizontal="center"/>
    </xf>
    <xf numFmtId="0" fontId="9" fillId="7" borderId="18" xfId="0" applyFont="1" applyFill="1" applyBorder="1" applyAlignment="1">
      <alignment horizontal="center"/>
    </xf>
    <xf numFmtId="0" fontId="19" fillId="0" borderId="0" xfId="0" applyFont="1"/>
    <xf numFmtId="1" fontId="9" fillId="10" borderId="0" xfId="0" applyNumberFormat="1" applyFont="1" applyFill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14" fillId="0" borderId="11" xfId="0" applyFont="1" applyFill="1" applyBorder="1" applyAlignment="1"/>
    <xf numFmtId="0" fontId="9" fillId="0" borderId="0" xfId="0" applyFont="1" applyBorder="1" applyAlignment="1">
      <alignment horizontal="left"/>
    </xf>
    <xf numFmtId="0" fontId="0" fillId="9" borderId="0" xfId="0" applyFill="1"/>
    <xf numFmtId="0" fontId="11" fillId="0" borderId="0" xfId="0" applyFont="1" applyFill="1"/>
    <xf numFmtId="0" fontId="10" fillId="0" borderId="0" xfId="0" applyFont="1" applyFill="1"/>
    <xf numFmtId="0" fontId="6" fillId="3" borderId="0" xfId="0" applyFont="1" applyFill="1"/>
    <xf numFmtId="0" fontId="4" fillId="9" borderId="0" xfId="0" applyFont="1" applyFill="1" applyAlignment="1">
      <alignment horizontal="center" vertical="center"/>
    </xf>
    <xf numFmtId="164" fontId="5" fillId="9" borderId="0" xfId="0" applyNumberFormat="1" applyFont="1" applyFill="1" applyAlignment="1">
      <alignment horizontal="center" vertical="center"/>
    </xf>
    <xf numFmtId="10" fontId="5" fillId="9" borderId="0" xfId="1" applyNumberFormat="1" applyFont="1" applyFill="1" applyAlignment="1">
      <alignment horizontal="center" vertical="center"/>
    </xf>
    <xf numFmtId="0" fontId="3" fillId="11" borderId="0" xfId="0" applyFont="1" applyFill="1"/>
    <xf numFmtId="0" fontId="0" fillId="11" borderId="0" xfId="0" applyFill="1"/>
    <xf numFmtId="0" fontId="10" fillId="11" borderId="0" xfId="0" applyFont="1" applyFill="1"/>
    <xf numFmtId="0" fontId="11" fillId="11" borderId="0" xfId="0" applyFont="1" applyFill="1"/>
    <xf numFmtId="165" fontId="0" fillId="0" borderId="0" xfId="0" applyNumberFormat="1"/>
    <xf numFmtId="165" fontId="2" fillId="0" borderId="0" xfId="0" applyNumberFormat="1" applyFont="1"/>
    <xf numFmtId="0" fontId="0" fillId="0" borderId="0" xfId="0" applyAlignment="1">
      <alignment horizontal="left"/>
    </xf>
    <xf numFmtId="0" fontId="3" fillId="0" borderId="3" xfId="0" applyFont="1" applyBorder="1"/>
    <xf numFmtId="0" fontId="0" fillId="0" borderId="5" xfId="0" applyBorder="1"/>
    <xf numFmtId="165" fontId="0" fillId="0" borderId="8" xfId="0" applyNumberFormat="1" applyBorder="1"/>
    <xf numFmtId="0" fontId="0" fillId="0" borderId="9" xfId="0" applyBorder="1"/>
    <xf numFmtId="2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7" borderId="0" xfId="0" applyFont="1" applyFill="1" applyAlignment="1">
      <alignment horizontal="right"/>
    </xf>
    <xf numFmtId="0" fontId="3" fillId="7" borderId="0" xfId="0" applyNumberFormat="1" applyFont="1" applyFill="1" applyAlignment="1">
      <alignment horizontal="center" vertical="center"/>
    </xf>
    <xf numFmtId="165" fontId="3" fillId="7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17" fontId="13" fillId="7" borderId="0" xfId="2" applyNumberFormat="1" applyFont="1" applyFill="1" applyAlignment="1">
      <alignment horizontal="center" vertical="center"/>
    </xf>
    <xf numFmtId="165" fontId="13" fillId="7" borderId="0" xfId="2" applyNumberFormat="1" applyFont="1" applyFill="1" applyAlignment="1">
      <alignment horizontal="center" vertical="center"/>
    </xf>
    <xf numFmtId="2" fontId="0" fillId="5" borderId="0" xfId="0" applyNumberFormat="1" applyFill="1"/>
    <xf numFmtId="17" fontId="13" fillId="9" borderId="0" xfId="2" applyNumberFormat="1" applyFont="1" applyFill="1" applyAlignment="1">
      <alignment horizontal="center" vertical="center"/>
    </xf>
    <xf numFmtId="165" fontId="13" fillId="9" borderId="0" xfId="2" applyNumberFormat="1" applyFont="1" applyFill="1" applyAlignment="1">
      <alignment horizontal="center" vertical="center"/>
    </xf>
    <xf numFmtId="2" fontId="0" fillId="9" borderId="0" xfId="0" applyNumberFormat="1" applyFill="1"/>
    <xf numFmtId="0" fontId="3" fillId="0" borderId="2" xfId="0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 vertical="center"/>
    </xf>
    <xf numFmtId="165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165" fontId="2" fillId="6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3" fillId="12" borderId="0" xfId="0" applyFont="1" applyFill="1" applyAlignment="1">
      <alignment horizontal="left" vertical="center"/>
    </xf>
    <xf numFmtId="2" fontId="0" fillId="12" borderId="0" xfId="0" applyNumberFormat="1" applyFill="1"/>
    <xf numFmtId="0" fontId="3" fillId="3" borderId="0" xfId="0" applyFont="1" applyFill="1" applyAlignment="1">
      <alignment horizontal="left" vertical="center"/>
    </xf>
    <xf numFmtId="164" fontId="9" fillId="0" borderId="0" xfId="0" applyNumberFormat="1" applyFont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164" fontId="9" fillId="0" borderId="16" xfId="0" applyNumberFormat="1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2" xfId="0" applyFont="1" applyFill="1" applyBorder="1" applyAlignment="1"/>
    <xf numFmtId="0" fontId="14" fillId="0" borderId="2" xfId="0" applyFont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9" fillId="2" borderId="0" xfId="0" applyFont="1" applyFill="1" applyBorder="1" applyAlignment="1"/>
    <xf numFmtId="0" fontId="9" fillId="6" borderId="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14" fillId="5" borderId="0" xfId="0" applyFont="1" applyFill="1" applyBorder="1" applyAlignment="1">
      <alignment horizontal="center"/>
    </xf>
    <xf numFmtId="0" fontId="20" fillId="0" borderId="4" xfId="0" applyFont="1" applyFill="1" applyBorder="1" applyAlignment="1">
      <alignment horizontal="centerContinuous"/>
    </xf>
    <xf numFmtId="0" fontId="9" fillId="2" borderId="0" xfId="0" applyFont="1" applyFill="1" applyBorder="1" applyAlignment="1">
      <alignment vertical="center"/>
    </xf>
    <xf numFmtId="164" fontId="9" fillId="5" borderId="0" xfId="0" applyNumberFormat="1" applyFont="1" applyFill="1" applyAlignment="1">
      <alignment horizontal="center"/>
    </xf>
    <xf numFmtId="0" fontId="12" fillId="0" borderId="0" xfId="0" applyFont="1" applyFill="1" applyBorder="1" applyAlignment="1"/>
    <xf numFmtId="0" fontId="12" fillId="0" borderId="2" xfId="0" applyFont="1" applyFill="1" applyBorder="1" applyAlignment="1"/>
    <xf numFmtId="0" fontId="20" fillId="0" borderId="4" xfId="0" applyFont="1" applyFill="1" applyBorder="1" applyAlignment="1">
      <alignment horizontal="center"/>
    </xf>
    <xf numFmtId="0" fontId="12" fillId="0" borderId="2" xfId="0" applyFont="1" applyBorder="1"/>
    <xf numFmtId="0" fontId="14" fillId="0" borderId="1" xfId="0" applyFont="1" applyBorder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center"/>
    </xf>
    <xf numFmtId="0" fontId="12" fillId="0" borderId="0" xfId="0" quotePrefix="1" applyFont="1"/>
    <xf numFmtId="0" fontId="9" fillId="9" borderId="0" xfId="0" applyFont="1" applyFill="1" applyBorder="1" applyAlignment="1">
      <alignment vertical="center"/>
    </xf>
    <xf numFmtId="0" fontId="9" fillId="9" borderId="0" xfId="0" applyFont="1" applyFill="1" applyBorder="1" applyAlignment="1"/>
    <xf numFmtId="164" fontId="9" fillId="9" borderId="0" xfId="0" applyNumberFormat="1" applyFont="1" applyFill="1" applyAlignment="1">
      <alignment horizontal="center"/>
    </xf>
    <xf numFmtId="166" fontId="9" fillId="6" borderId="0" xfId="0" applyNumberFormat="1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 vertical="center"/>
    </xf>
    <xf numFmtId="0" fontId="9" fillId="0" borderId="0" xfId="0" applyFont="1" applyFill="1"/>
    <xf numFmtId="0" fontId="14" fillId="0" borderId="2" xfId="0" applyFont="1" applyFill="1" applyBorder="1" applyAlignment="1">
      <alignment horizontal="center" vertical="center"/>
    </xf>
    <xf numFmtId="0" fontId="14" fillId="0" borderId="0" xfId="0" applyFont="1" applyFill="1"/>
    <xf numFmtId="0" fontId="9" fillId="0" borderId="11" xfId="0" applyFont="1" applyFill="1" applyBorder="1" applyAlignment="1">
      <alignment vertical="center"/>
    </xf>
    <xf numFmtId="0" fontId="9" fillId="2" borderId="10" xfId="0" applyFont="1" applyFill="1" applyBorder="1" applyAlignment="1"/>
    <xf numFmtId="0" fontId="9" fillId="2" borderId="10" xfId="0" applyFont="1" applyFill="1" applyBorder="1" applyAlignment="1">
      <alignment horizontal="left"/>
    </xf>
    <xf numFmtId="0" fontId="9" fillId="2" borderId="10" xfId="0" applyFont="1" applyFill="1" applyBorder="1" applyAlignment="1">
      <alignment vertical="center"/>
    </xf>
    <xf numFmtId="0" fontId="9" fillId="9" borderId="10" xfId="0" applyFont="1" applyFill="1" applyBorder="1" applyAlignment="1">
      <alignment vertical="center"/>
    </xf>
    <xf numFmtId="0" fontId="9" fillId="9" borderId="0" xfId="0" applyFont="1" applyFill="1" applyAlignment="1">
      <alignment horizontal="center" vertical="center"/>
    </xf>
    <xf numFmtId="0" fontId="9" fillId="9" borderId="0" xfId="0" applyFont="1" applyFill="1"/>
    <xf numFmtId="0" fontId="9" fillId="6" borderId="0" xfId="0" applyFont="1" applyFill="1"/>
    <xf numFmtId="0" fontId="9" fillId="6" borderId="0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9" fillId="5" borderId="0" xfId="0" applyFont="1" applyFill="1"/>
    <xf numFmtId="0" fontId="9" fillId="5" borderId="0" xfId="0" applyFont="1" applyFill="1" applyAlignment="1">
      <alignment horizontal="center" vertical="center"/>
    </xf>
    <xf numFmtId="0" fontId="14" fillId="0" borderId="2" xfId="0" applyFont="1" applyFill="1" applyBorder="1" applyAlignment="1"/>
    <xf numFmtId="167" fontId="9" fillId="5" borderId="0" xfId="0" applyNumberFormat="1" applyFont="1" applyFill="1" applyAlignment="1">
      <alignment horizontal="center" vertical="center"/>
    </xf>
    <xf numFmtId="0" fontId="9" fillId="4" borderId="22" xfId="0" applyFont="1" applyFill="1" applyBorder="1"/>
    <xf numFmtId="0" fontId="9" fillId="4" borderId="23" xfId="0" applyFont="1" applyFill="1" applyBorder="1"/>
    <xf numFmtId="0" fontId="9" fillId="4" borderId="8" xfId="0" applyFont="1" applyFill="1" applyBorder="1"/>
    <xf numFmtId="0" fontId="9" fillId="4" borderId="9" xfId="0" applyFont="1" applyFill="1" applyBorder="1"/>
    <xf numFmtId="0" fontId="9" fillId="4" borderId="6" xfId="0" applyFont="1" applyFill="1" applyBorder="1"/>
    <xf numFmtId="0" fontId="9" fillId="4" borderId="7" xfId="0" applyFont="1" applyFill="1" applyBorder="1"/>
    <xf numFmtId="0" fontId="9" fillId="0" borderId="22" xfId="0" applyFont="1" applyBorder="1"/>
    <xf numFmtId="0" fontId="9" fillId="0" borderId="23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9" xfId="0" applyFont="1" applyBorder="1"/>
    <xf numFmtId="0" fontId="9" fillId="0" borderId="24" xfId="0" applyFont="1" applyBorder="1"/>
    <xf numFmtId="0" fontId="9" fillId="0" borderId="20" xfId="0" applyFont="1" applyBorder="1"/>
    <xf numFmtId="0" fontId="9" fillId="0" borderId="2" xfId="0" applyFont="1" applyFill="1" applyBorder="1"/>
  </cellXfs>
  <cellStyles count="3">
    <cellStyle name="Normal" xfId="0" builtinId="0"/>
    <cellStyle name="Normale 2" xfId="2"/>
    <cellStyle name="Porcentaje" xfId="1" builtinId="5"/>
  </cellStyles>
  <dxfs count="0"/>
  <tableStyles count="0" defaultTableStyle="TableStyleMedium2" defaultPivotStyle="PivotStyleLight16"/>
  <colors>
    <mruColors>
      <color rgb="FFF8AEAE"/>
      <color rgb="FFCDC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'Esquema d''integració'!$B$2</c:f>
              <c:strCache>
                <c:ptCount val="1"/>
                <c:pt idx="0">
                  <c:v>Yt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'Esquema d''integració'!$A$3:$A$18</c:f>
              <c:strCache>
                <c:ptCount val="16"/>
                <c:pt idx="0">
                  <c:v>Q1-01</c:v>
                </c:pt>
                <c:pt idx="1">
                  <c:v>Q2-01</c:v>
                </c:pt>
                <c:pt idx="2">
                  <c:v>Q3-01</c:v>
                </c:pt>
                <c:pt idx="3">
                  <c:v>Q4-01</c:v>
                </c:pt>
                <c:pt idx="4">
                  <c:v>Q1-02</c:v>
                </c:pt>
                <c:pt idx="5">
                  <c:v>Q2-02</c:v>
                </c:pt>
                <c:pt idx="6">
                  <c:v>Q3-02</c:v>
                </c:pt>
                <c:pt idx="7">
                  <c:v>Q4-02</c:v>
                </c:pt>
                <c:pt idx="8">
                  <c:v>Q1-03</c:v>
                </c:pt>
                <c:pt idx="9">
                  <c:v>Q2-03</c:v>
                </c:pt>
                <c:pt idx="10">
                  <c:v>Q3-03</c:v>
                </c:pt>
                <c:pt idx="11">
                  <c:v>Q4-03</c:v>
                </c:pt>
                <c:pt idx="12">
                  <c:v>Q1-04</c:v>
                </c:pt>
                <c:pt idx="13">
                  <c:v>Q2-04</c:v>
                </c:pt>
                <c:pt idx="14">
                  <c:v>Q3-04</c:v>
                </c:pt>
                <c:pt idx="15">
                  <c:v>Q4-04</c:v>
                </c:pt>
              </c:strCache>
            </c:strRef>
          </c:cat>
          <c:val>
            <c:numRef>
              <c:f>'Esquema d''integració'!$B$3:$B$18</c:f>
              <c:numCache>
                <c:formatCode>General</c:formatCode>
                <c:ptCount val="16"/>
                <c:pt idx="0">
                  <c:v>118</c:v>
                </c:pt>
                <c:pt idx="1">
                  <c:v>160</c:v>
                </c:pt>
                <c:pt idx="2">
                  <c:v>193</c:v>
                </c:pt>
                <c:pt idx="3">
                  <c:v>107</c:v>
                </c:pt>
                <c:pt idx="4">
                  <c:v>230</c:v>
                </c:pt>
                <c:pt idx="5">
                  <c:v>333</c:v>
                </c:pt>
                <c:pt idx="6">
                  <c:v>430</c:v>
                </c:pt>
                <c:pt idx="7">
                  <c:v>170</c:v>
                </c:pt>
                <c:pt idx="8">
                  <c:v>340</c:v>
                </c:pt>
                <c:pt idx="9">
                  <c:v>488</c:v>
                </c:pt>
                <c:pt idx="10">
                  <c:v>606</c:v>
                </c:pt>
                <c:pt idx="11">
                  <c:v>234</c:v>
                </c:pt>
                <c:pt idx="12">
                  <c:v>441</c:v>
                </c:pt>
                <c:pt idx="13">
                  <c:v>629</c:v>
                </c:pt>
                <c:pt idx="14">
                  <c:v>781</c:v>
                </c:pt>
                <c:pt idx="15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9-46D7-9620-B5264B23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671704"/>
        <c:axId val="423672032"/>
      </c:lineChart>
      <c:catAx>
        <c:axId val="42367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3672032"/>
        <c:crosses val="autoZero"/>
        <c:auto val="1"/>
        <c:lblAlgn val="ctr"/>
        <c:lblOffset val="100"/>
        <c:noMultiLvlLbl val="0"/>
      </c:catAx>
      <c:valAx>
        <c:axId val="4236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367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Mitjanes-Desv típiques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'Esquema d''integració'!$L$2</c:f>
              <c:strCache>
                <c:ptCount val="1"/>
                <c:pt idx="0">
                  <c:v>Desviació típica anual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'Esquema d''integració'!$K$3:$K$6</c:f>
              <c:numCache>
                <c:formatCode>General</c:formatCode>
                <c:ptCount val="4"/>
                <c:pt idx="0">
                  <c:v>144.5</c:v>
                </c:pt>
                <c:pt idx="1">
                  <c:v>290.75</c:v>
                </c:pt>
                <c:pt idx="2">
                  <c:v>417</c:v>
                </c:pt>
                <c:pt idx="3">
                  <c:v>538.25</c:v>
                </c:pt>
              </c:numCache>
            </c:numRef>
          </c:xVal>
          <c:yVal>
            <c:numRef>
              <c:f>'Esquema d''integració'!$L$3:$L$6</c:f>
              <c:numCache>
                <c:formatCode>General</c:formatCode>
                <c:ptCount val="4"/>
                <c:pt idx="0">
                  <c:v>39.585350825778974</c:v>
                </c:pt>
                <c:pt idx="1">
                  <c:v>114.66872575670607</c:v>
                </c:pt>
                <c:pt idx="2">
                  <c:v>163.48292469449729</c:v>
                </c:pt>
                <c:pt idx="3">
                  <c:v>210.10691722707909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B-4D51-B5F6-44E4DAC38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118600"/>
        <c:axId val="567121552"/>
      </c:scatterChart>
      <c:valAx>
        <c:axId val="567118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Mitjanes Anuals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121552"/>
        <c:crosses val="autoZero"/>
        <c:crossBetween val="midCat"/>
      </c:valAx>
      <c:valAx>
        <c:axId val="5671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Desviacions típiques Anual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2339494021580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118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Mètode Descomposició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'Additiu - Descomposició'!$C$2</c:f>
              <c:strCache>
                <c:ptCount val="1"/>
                <c:pt idx="0">
                  <c:v>Vendes (Yt)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'Additiu - Descomposició'!$A$3:$A$23</c:f>
              <c:strCache>
                <c:ptCount val="21"/>
                <c:pt idx="0">
                  <c:v>1999TI</c:v>
                </c:pt>
                <c:pt idx="1">
                  <c:v>1999TII</c:v>
                </c:pt>
                <c:pt idx="2">
                  <c:v>1999TIII</c:v>
                </c:pt>
                <c:pt idx="3">
                  <c:v>1999TIV</c:v>
                </c:pt>
                <c:pt idx="4">
                  <c:v>2000TI</c:v>
                </c:pt>
                <c:pt idx="5">
                  <c:v>2000TII</c:v>
                </c:pt>
                <c:pt idx="6">
                  <c:v>2000TIII</c:v>
                </c:pt>
                <c:pt idx="7">
                  <c:v>2000TIV</c:v>
                </c:pt>
                <c:pt idx="8">
                  <c:v>2001TI</c:v>
                </c:pt>
                <c:pt idx="9">
                  <c:v>2001TII</c:v>
                </c:pt>
                <c:pt idx="10">
                  <c:v>2001TIII</c:v>
                </c:pt>
                <c:pt idx="11">
                  <c:v>2001TIV</c:v>
                </c:pt>
                <c:pt idx="12">
                  <c:v>2002TI</c:v>
                </c:pt>
                <c:pt idx="13">
                  <c:v>2002TII</c:v>
                </c:pt>
                <c:pt idx="14">
                  <c:v>2002TIII</c:v>
                </c:pt>
                <c:pt idx="15">
                  <c:v>2002TIV</c:v>
                </c:pt>
                <c:pt idx="17">
                  <c:v>2003TI</c:v>
                </c:pt>
                <c:pt idx="18">
                  <c:v>2003TII</c:v>
                </c:pt>
                <c:pt idx="19">
                  <c:v>2003TIII</c:v>
                </c:pt>
                <c:pt idx="20">
                  <c:v>2003TIV</c:v>
                </c:pt>
              </c:strCache>
            </c:strRef>
          </c:cat>
          <c:val>
            <c:numRef>
              <c:f>'Additiu - Descomposició'!$C$3:$C$23</c:f>
              <c:numCache>
                <c:formatCode>General</c:formatCode>
                <c:ptCount val="21"/>
                <c:pt idx="0">
                  <c:v>14</c:v>
                </c:pt>
                <c:pt idx="1">
                  <c:v>9.74</c:v>
                </c:pt>
                <c:pt idx="2">
                  <c:v>8.09</c:v>
                </c:pt>
                <c:pt idx="3">
                  <c:v>9.68</c:v>
                </c:pt>
                <c:pt idx="4">
                  <c:v>14.31</c:v>
                </c:pt>
                <c:pt idx="5">
                  <c:v>10.82</c:v>
                </c:pt>
                <c:pt idx="6">
                  <c:v>8.9499999999999993</c:v>
                </c:pt>
                <c:pt idx="7">
                  <c:v>10.15</c:v>
                </c:pt>
                <c:pt idx="8">
                  <c:v>15.26</c:v>
                </c:pt>
                <c:pt idx="9">
                  <c:v>11.58</c:v>
                </c:pt>
                <c:pt idx="10">
                  <c:v>9.82</c:v>
                </c:pt>
                <c:pt idx="11">
                  <c:v>11.37</c:v>
                </c:pt>
                <c:pt idx="12">
                  <c:v>15.81</c:v>
                </c:pt>
                <c:pt idx="13">
                  <c:v>12.51</c:v>
                </c:pt>
                <c:pt idx="14">
                  <c:v>10.93</c:v>
                </c:pt>
                <c:pt idx="15">
                  <c:v>12.31</c:v>
                </c:pt>
                <c:pt idx="17">
                  <c:v>16.670000000000002</c:v>
                </c:pt>
                <c:pt idx="18">
                  <c:v>11.91</c:v>
                </c:pt>
                <c:pt idx="19">
                  <c:v>11.15</c:v>
                </c:pt>
                <c:pt idx="20">
                  <c:v>11.73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F-4096-B5E1-1FB858FF212A}"/>
            </c:ext>
          </c:extLst>
        </c:ser>
        <c:ser>
          <c:idx val="1"/>
          <c:order val="1"/>
          <c:tx>
            <c:strRef>
              <c:f>'Additiu - Descomposició'!$I$2</c:f>
              <c:strCache>
                <c:ptCount val="1"/>
                <c:pt idx="0">
                  <c:v>Predicció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'Additiu - Descomposició'!$A$3:$A$23</c:f>
              <c:strCache>
                <c:ptCount val="21"/>
                <c:pt idx="0">
                  <c:v>1999TI</c:v>
                </c:pt>
                <c:pt idx="1">
                  <c:v>1999TII</c:v>
                </c:pt>
                <c:pt idx="2">
                  <c:v>1999TIII</c:v>
                </c:pt>
                <c:pt idx="3">
                  <c:v>1999TIV</c:v>
                </c:pt>
                <c:pt idx="4">
                  <c:v>2000TI</c:v>
                </c:pt>
                <c:pt idx="5">
                  <c:v>2000TII</c:v>
                </c:pt>
                <c:pt idx="6">
                  <c:v>2000TIII</c:v>
                </c:pt>
                <c:pt idx="7">
                  <c:v>2000TIV</c:v>
                </c:pt>
                <c:pt idx="8">
                  <c:v>2001TI</c:v>
                </c:pt>
                <c:pt idx="9">
                  <c:v>2001TII</c:v>
                </c:pt>
                <c:pt idx="10">
                  <c:v>2001TIII</c:v>
                </c:pt>
                <c:pt idx="11">
                  <c:v>2001TIV</c:v>
                </c:pt>
                <c:pt idx="12">
                  <c:v>2002TI</c:v>
                </c:pt>
                <c:pt idx="13">
                  <c:v>2002TII</c:v>
                </c:pt>
                <c:pt idx="14">
                  <c:v>2002TIII</c:v>
                </c:pt>
                <c:pt idx="15">
                  <c:v>2002TIV</c:v>
                </c:pt>
                <c:pt idx="17">
                  <c:v>2003TI</c:v>
                </c:pt>
                <c:pt idx="18">
                  <c:v>2003TII</c:v>
                </c:pt>
                <c:pt idx="19">
                  <c:v>2003TIII</c:v>
                </c:pt>
                <c:pt idx="20">
                  <c:v>2003TIV</c:v>
                </c:pt>
              </c:strCache>
            </c:strRef>
          </c:cat>
          <c:val>
            <c:numRef>
              <c:f>'Additiu - Descomposició'!$I$3:$I$23</c:f>
              <c:numCache>
                <c:formatCode>0.000</c:formatCode>
                <c:ptCount val="21"/>
                <c:pt idx="0">
                  <c:v>13.491752450980393</c:v>
                </c:pt>
                <c:pt idx="1">
                  <c:v>9.9846715686274496</c:v>
                </c:pt>
                <c:pt idx="2">
                  <c:v>8.164674019607844</c:v>
                </c:pt>
                <c:pt idx="3">
                  <c:v>9.6313431372549001</c:v>
                </c:pt>
                <c:pt idx="4">
                  <c:v>14.335095588235294</c:v>
                </c:pt>
                <c:pt idx="5">
                  <c:v>10.828014705882351</c:v>
                </c:pt>
                <c:pt idx="6">
                  <c:v>9.0080171568627456</c:v>
                </c:pt>
                <c:pt idx="7">
                  <c:v>10.474686274509803</c:v>
                </c:pt>
                <c:pt idx="8">
                  <c:v>15.178438725490196</c:v>
                </c:pt>
                <c:pt idx="9">
                  <c:v>11.671357843137255</c:v>
                </c:pt>
                <c:pt idx="10">
                  <c:v>9.8513602941176472</c:v>
                </c:pt>
                <c:pt idx="11">
                  <c:v>11.318029411764705</c:v>
                </c:pt>
                <c:pt idx="12">
                  <c:v>16.021781862745101</c:v>
                </c:pt>
                <c:pt idx="13">
                  <c:v>12.514700980392156</c:v>
                </c:pt>
                <c:pt idx="14">
                  <c:v>10.694703431372549</c:v>
                </c:pt>
                <c:pt idx="15">
                  <c:v>12.161372549019607</c:v>
                </c:pt>
                <c:pt idx="17">
                  <c:v>16.865125000000003</c:v>
                </c:pt>
                <c:pt idx="18">
                  <c:v>13.35804411764706</c:v>
                </c:pt>
                <c:pt idx="19">
                  <c:v>11.53804656862745</c:v>
                </c:pt>
                <c:pt idx="20">
                  <c:v>13.004715686274508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F-4096-B5E1-1FB858FF2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092536"/>
        <c:axId val="571095816"/>
      </c:lineChart>
      <c:catAx>
        <c:axId val="57109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1095816"/>
        <c:crosses val="autoZero"/>
        <c:auto val="1"/>
        <c:lblAlgn val="ctr"/>
        <c:lblOffset val="100"/>
        <c:noMultiLvlLbl val="0"/>
      </c:catAx>
      <c:valAx>
        <c:axId val="57109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109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180975</xdr:rowOff>
    </xdr:from>
    <xdr:to>
      <xdr:col>7</xdr:col>
      <xdr:colOff>952500</xdr:colOff>
      <xdr:row>35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</xdr:colOff>
      <xdr:row>21</xdr:row>
      <xdr:rowOff>0</xdr:rowOff>
    </xdr:from>
    <xdr:to>
      <xdr:col>14</xdr:col>
      <xdr:colOff>581025</xdr:colOff>
      <xdr:row>36</xdr:row>
      <xdr:rowOff>0</xdr:rowOff>
    </xdr:to>
    <xdr:graphicFrame macro="">
      <xdr:nvGraphicFramePr>
        <xdr:cNvPr id="19" name="Grá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3847</xdr:colOff>
      <xdr:row>33</xdr:row>
      <xdr:rowOff>14336</xdr:rowOff>
    </xdr:from>
    <xdr:to>
      <xdr:col>21</xdr:col>
      <xdr:colOff>10582</xdr:colOff>
      <xdr:row>47</xdr:row>
      <xdr:rowOff>179918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tabSelected="1" workbookViewId="0">
      <selection activeCell="T22" sqref="T22"/>
    </sheetView>
  </sheetViews>
  <sheetFormatPr baseColWidth="10" defaultColWidth="9.140625" defaultRowHeight="15" x14ac:dyDescent="0.25"/>
  <cols>
    <col min="7" max="7" width="11.7109375" bestFit="1" customWidth="1"/>
    <col min="8" max="8" width="14.7109375" bestFit="1" customWidth="1"/>
    <col min="11" max="11" width="13.28515625" bestFit="1" customWidth="1"/>
    <col min="12" max="12" width="20" bestFit="1" customWidth="1"/>
    <col min="13" max="13" width="11.7109375" bestFit="1" customWidth="1"/>
    <col min="14" max="14" width="14.7109375" bestFit="1" customWidth="1"/>
  </cols>
  <sheetData>
    <row r="1" spans="1:16" x14ac:dyDescent="0.25">
      <c r="A1" s="15" t="s">
        <v>29</v>
      </c>
      <c r="D1" s="15" t="s">
        <v>24</v>
      </c>
      <c r="J1" s="15" t="s">
        <v>30</v>
      </c>
    </row>
    <row r="2" spans="1:16" ht="16.5" thickBot="1" x14ac:dyDescent="0.3">
      <c r="A2" s="1" t="s">
        <v>0</v>
      </c>
      <c r="B2" s="1" t="s">
        <v>17</v>
      </c>
      <c r="D2" s="8" t="s">
        <v>28</v>
      </c>
      <c r="E2" s="1" t="s">
        <v>0</v>
      </c>
      <c r="F2" s="1" t="s">
        <v>17</v>
      </c>
      <c r="G2" s="9" t="s">
        <v>25</v>
      </c>
      <c r="H2" s="9" t="s">
        <v>27</v>
      </c>
      <c r="J2" s="7"/>
      <c r="K2" s="7" t="s">
        <v>25</v>
      </c>
      <c r="L2" s="7" t="s">
        <v>26</v>
      </c>
    </row>
    <row r="3" spans="1:16" ht="15.75" x14ac:dyDescent="0.25">
      <c r="A3" s="2" t="s">
        <v>1</v>
      </c>
      <c r="B3" s="2">
        <v>118</v>
      </c>
      <c r="D3" s="2" t="s">
        <v>1</v>
      </c>
      <c r="E3" s="2">
        <v>1</v>
      </c>
      <c r="F3" s="2">
        <v>118</v>
      </c>
      <c r="G3" s="11">
        <f>AVERAGE(F3:F6)</f>
        <v>144.5</v>
      </c>
      <c r="H3" s="13">
        <f>STDEV(F3:F6)</f>
        <v>39.585350825778974</v>
      </c>
      <c r="J3" s="3" t="s">
        <v>31</v>
      </c>
      <c r="K3" s="3">
        <v>144.5</v>
      </c>
      <c r="L3" s="3">
        <v>39.585350825778974</v>
      </c>
    </row>
    <row r="4" spans="1:16" ht="15.75" x14ac:dyDescent="0.25">
      <c r="A4" s="2" t="s">
        <v>2</v>
      </c>
      <c r="B4" s="2">
        <v>160</v>
      </c>
      <c r="D4" s="2" t="s">
        <v>2</v>
      </c>
      <c r="E4" s="2">
        <v>2</v>
      </c>
      <c r="F4" s="2">
        <v>160</v>
      </c>
      <c r="G4" s="11"/>
      <c r="H4" s="13"/>
      <c r="J4" s="3" t="s">
        <v>32</v>
      </c>
      <c r="K4" s="3">
        <v>290.75</v>
      </c>
      <c r="L4" s="3">
        <v>114.66872575670607</v>
      </c>
    </row>
    <row r="5" spans="1:16" ht="15.75" x14ac:dyDescent="0.25">
      <c r="A5" s="2" t="s">
        <v>3</v>
      </c>
      <c r="B5" s="2">
        <v>193</v>
      </c>
      <c r="D5" s="2" t="s">
        <v>3</v>
      </c>
      <c r="E5" s="2">
        <v>3</v>
      </c>
      <c r="F5" s="2">
        <v>193</v>
      </c>
      <c r="G5" s="11"/>
      <c r="H5" s="13"/>
      <c r="J5" s="3" t="s">
        <v>33</v>
      </c>
      <c r="K5" s="3">
        <v>417</v>
      </c>
      <c r="L5" s="3">
        <v>163.48292469449729</v>
      </c>
    </row>
    <row r="6" spans="1:16" ht="16.5" thickBot="1" x14ac:dyDescent="0.3">
      <c r="A6" s="2" t="s">
        <v>4</v>
      </c>
      <c r="B6" s="2">
        <v>107</v>
      </c>
      <c r="D6" s="10" t="s">
        <v>4</v>
      </c>
      <c r="E6" s="10">
        <v>4</v>
      </c>
      <c r="F6" s="10">
        <v>107</v>
      </c>
      <c r="G6" s="12"/>
      <c r="H6" s="14"/>
      <c r="J6" s="3" t="s">
        <v>34</v>
      </c>
      <c r="K6" s="3">
        <v>538.25</v>
      </c>
      <c r="L6" s="3">
        <v>210.10691722707909</v>
      </c>
    </row>
    <row r="7" spans="1:16" ht="15.75" x14ac:dyDescent="0.25">
      <c r="A7" s="2" t="s">
        <v>5</v>
      </c>
      <c r="B7" s="2">
        <v>230</v>
      </c>
      <c r="D7" s="2" t="s">
        <v>5</v>
      </c>
      <c r="E7" s="2">
        <v>5</v>
      </c>
      <c r="F7" s="2">
        <v>230</v>
      </c>
      <c r="G7" s="11">
        <f>AVERAGE(F7:F10)</f>
        <v>290.75</v>
      </c>
      <c r="H7" s="13">
        <f>STDEV(F7:F10)</f>
        <v>114.66872575670607</v>
      </c>
    </row>
    <row r="8" spans="1:16" ht="15.75" x14ac:dyDescent="0.25">
      <c r="A8" s="2" t="s">
        <v>6</v>
      </c>
      <c r="B8" s="2">
        <v>333</v>
      </c>
      <c r="D8" s="2" t="s">
        <v>6</v>
      </c>
      <c r="E8" s="2">
        <v>6</v>
      </c>
      <c r="F8" s="2">
        <v>333</v>
      </c>
      <c r="G8" s="11"/>
      <c r="H8" s="13"/>
    </row>
    <row r="9" spans="1:16" ht="15.75" x14ac:dyDescent="0.25">
      <c r="A9" s="2" t="s">
        <v>7</v>
      </c>
      <c r="B9" s="2">
        <v>430</v>
      </c>
      <c r="D9" s="2" t="s">
        <v>7</v>
      </c>
      <c r="E9" s="2">
        <v>7</v>
      </c>
      <c r="F9" s="2">
        <v>430</v>
      </c>
      <c r="G9" s="11"/>
      <c r="H9" s="13"/>
      <c r="J9" s="21" t="s">
        <v>39</v>
      </c>
    </row>
    <row r="10" spans="1:16" ht="16.5" thickBot="1" x14ac:dyDescent="0.3">
      <c r="A10" s="2" t="s">
        <v>8</v>
      </c>
      <c r="B10" s="2">
        <v>170</v>
      </c>
      <c r="D10" s="10" t="s">
        <v>8</v>
      </c>
      <c r="E10" s="10">
        <v>8</v>
      </c>
      <c r="F10" s="10">
        <v>170</v>
      </c>
      <c r="G10" s="12"/>
      <c r="H10" s="14"/>
      <c r="J10" s="3" t="s">
        <v>40</v>
      </c>
      <c r="K10" s="3"/>
      <c r="L10" s="3"/>
      <c r="M10" s="3"/>
      <c r="N10" s="3"/>
      <c r="O10" s="3"/>
      <c r="P10" s="3"/>
    </row>
    <row r="11" spans="1:16" ht="15.75" x14ac:dyDescent="0.25">
      <c r="A11" s="2" t="s">
        <v>9</v>
      </c>
      <c r="B11" s="2">
        <v>340</v>
      </c>
      <c r="D11" s="2" t="s">
        <v>9</v>
      </c>
      <c r="E11" s="2">
        <v>9</v>
      </c>
      <c r="F11" s="2">
        <v>340</v>
      </c>
      <c r="G11" s="11">
        <f>AVERAGE(F11:F14)</f>
        <v>417</v>
      </c>
      <c r="H11" s="13">
        <f>STDEV(F11:F14)</f>
        <v>163.48292469449729</v>
      </c>
      <c r="J11" s="3" t="s">
        <v>41</v>
      </c>
      <c r="K11" s="3"/>
      <c r="L11" s="3"/>
      <c r="M11" s="3"/>
      <c r="N11" s="3"/>
      <c r="O11" s="3"/>
      <c r="P11" s="3"/>
    </row>
    <row r="12" spans="1:16" ht="15.75" x14ac:dyDescent="0.25">
      <c r="A12" s="2" t="s">
        <v>10</v>
      </c>
      <c r="B12" s="2">
        <v>488</v>
      </c>
      <c r="D12" s="2" t="s">
        <v>10</v>
      </c>
      <c r="E12" s="2">
        <v>10</v>
      </c>
      <c r="F12" s="2">
        <v>488</v>
      </c>
      <c r="G12" s="11"/>
      <c r="H12" s="13"/>
      <c r="J12" s="3" t="s">
        <v>42</v>
      </c>
      <c r="K12" s="3"/>
      <c r="L12" s="3"/>
      <c r="M12" s="3"/>
      <c r="N12" s="3"/>
      <c r="O12" s="3"/>
      <c r="P12" s="3"/>
    </row>
    <row r="13" spans="1:16" ht="15.75" x14ac:dyDescent="0.25">
      <c r="A13" s="2" t="s">
        <v>11</v>
      </c>
      <c r="B13" s="2">
        <v>606</v>
      </c>
      <c r="D13" s="2" t="s">
        <v>11</v>
      </c>
      <c r="E13" s="2">
        <v>11</v>
      </c>
      <c r="F13" s="2">
        <v>606</v>
      </c>
      <c r="G13" s="11"/>
      <c r="H13" s="13"/>
      <c r="J13" s="3" t="s">
        <v>43</v>
      </c>
      <c r="K13" s="3"/>
      <c r="L13" s="3"/>
      <c r="M13" s="3"/>
      <c r="N13" s="3"/>
      <c r="O13" s="3"/>
      <c r="P13" s="3"/>
    </row>
    <row r="14" spans="1:16" ht="16.5" thickBot="1" x14ac:dyDescent="0.3">
      <c r="A14" s="2" t="s">
        <v>12</v>
      </c>
      <c r="B14" s="2">
        <v>234</v>
      </c>
      <c r="D14" s="10" t="s">
        <v>12</v>
      </c>
      <c r="E14" s="10">
        <v>12</v>
      </c>
      <c r="F14" s="10">
        <v>234</v>
      </c>
      <c r="G14" s="12"/>
      <c r="H14" s="14"/>
      <c r="J14" s="3" t="s">
        <v>44</v>
      </c>
      <c r="K14" s="3"/>
      <c r="L14" s="3"/>
      <c r="M14" s="3"/>
      <c r="N14" s="3"/>
      <c r="O14" s="3"/>
      <c r="P14" s="3"/>
    </row>
    <row r="15" spans="1:16" ht="15.75" x14ac:dyDescent="0.25">
      <c r="A15" s="2" t="s">
        <v>13</v>
      </c>
      <c r="B15" s="2">
        <v>441</v>
      </c>
      <c r="D15" s="2" t="s">
        <v>13</v>
      </c>
      <c r="E15" s="2">
        <v>13</v>
      </c>
      <c r="F15" s="2">
        <v>441</v>
      </c>
      <c r="G15" s="11">
        <f>AVERAGE(F15:F18)</f>
        <v>538.25</v>
      </c>
      <c r="H15" s="13">
        <f>STDEV(F15:F18)</f>
        <v>210.10691722707909</v>
      </c>
      <c r="J15" s="3" t="s">
        <v>45</v>
      </c>
      <c r="K15" s="3"/>
      <c r="L15" s="3"/>
      <c r="M15" s="3"/>
      <c r="N15" s="3"/>
      <c r="O15" s="3"/>
      <c r="P15" s="3"/>
    </row>
    <row r="16" spans="1:16" ht="15.75" x14ac:dyDescent="0.25">
      <c r="A16" s="2" t="s">
        <v>14</v>
      </c>
      <c r="B16" s="2">
        <v>629</v>
      </c>
      <c r="D16" s="2" t="s">
        <v>14</v>
      </c>
      <c r="E16" s="2">
        <v>14</v>
      </c>
      <c r="F16" s="2">
        <v>629</v>
      </c>
      <c r="G16" s="11"/>
      <c r="H16" s="13"/>
    </row>
    <row r="17" spans="1:19" ht="15.75" x14ac:dyDescent="0.25">
      <c r="A17" s="2" t="s">
        <v>15</v>
      </c>
      <c r="B17" s="2">
        <v>781</v>
      </c>
      <c r="D17" s="2" t="s">
        <v>15</v>
      </c>
      <c r="E17" s="2">
        <v>15</v>
      </c>
      <c r="F17" s="2">
        <v>781</v>
      </c>
      <c r="G17" s="11"/>
      <c r="H17" s="13"/>
    </row>
    <row r="18" spans="1:19" ht="15.75" x14ac:dyDescent="0.25">
      <c r="A18" s="2" t="s">
        <v>16</v>
      </c>
      <c r="B18" s="2">
        <v>302</v>
      </c>
      <c r="D18" s="2" t="s">
        <v>16</v>
      </c>
      <c r="E18" s="2">
        <v>16</v>
      </c>
      <c r="F18" s="2">
        <v>302</v>
      </c>
      <c r="G18" s="11"/>
      <c r="H18" s="13"/>
    </row>
    <row r="20" spans="1:19" ht="15.75" x14ac:dyDescent="0.25">
      <c r="A20" s="16" t="s">
        <v>18</v>
      </c>
      <c r="B20" s="17"/>
      <c r="C20" s="17"/>
      <c r="D20" s="17"/>
      <c r="E20" s="17"/>
      <c r="F20" s="17"/>
      <c r="G20" s="17"/>
      <c r="H20" s="17"/>
      <c r="I20" s="18"/>
      <c r="J20" s="17" t="s">
        <v>23</v>
      </c>
      <c r="K20" s="5"/>
      <c r="L20" s="5"/>
      <c r="M20" s="5"/>
      <c r="N20" s="5"/>
      <c r="O20" s="5"/>
      <c r="P20" s="19"/>
      <c r="Q20" s="19"/>
      <c r="R20" s="19"/>
      <c r="S20" s="19"/>
    </row>
    <row r="38" spans="1:10" x14ac:dyDescent="0.25">
      <c r="A38" t="s">
        <v>19</v>
      </c>
      <c r="J38" t="s">
        <v>35</v>
      </c>
    </row>
    <row r="39" spans="1:10" x14ac:dyDescent="0.25">
      <c r="A39" t="s">
        <v>20</v>
      </c>
      <c r="J39" t="s">
        <v>36</v>
      </c>
    </row>
    <row r="40" spans="1:10" x14ac:dyDescent="0.25">
      <c r="A40" t="s">
        <v>21</v>
      </c>
    </row>
    <row r="41" spans="1:10" x14ac:dyDescent="0.25">
      <c r="J41" t="s">
        <v>38</v>
      </c>
    </row>
    <row r="42" spans="1:10" x14ac:dyDescent="0.25">
      <c r="A42" t="s">
        <v>22</v>
      </c>
      <c r="J42" t="s">
        <v>37</v>
      </c>
    </row>
    <row r="44" spans="1:10" ht="15.75" x14ac:dyDescent="0.25">
      <c r="J44" s="20"/>
    </row>
    <row r="45" spans="1:10" ht="15.75" x14ac:dyDescent="0.25">
      <c r="J45" s="20"/>
    </row>
    <row r="46" spans="1:10" ht="15.75" x14ac:dyDescent="0.25">
      <c r="J46" s="20"/>
    </row>
    <row r="47" spans="1:10" ht="15.75" x14ac:dyDescent="0.25">
      <c r="J47" s="20"/>
    </row>
  </sheetData>
  <pageMargins left="0.7" right="0.7" top="0.75" bottom="0.75" header="0.3" footer="0.3"/>
  <pageSetup paperSize="9" orientation="portrait" r:id="rId1"/>
  <ignoredErrors>
    <ignoredError sqref="G3:H18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"/>
  <sheetViews>
    <sheetView zoomScale="90" zoomScaleNormal="90" workbookViewId="0">
      <selection activeCell="G6" sqref="G6"/>
    </sheetView>
  </sheetViews>
  <sheetFormatPr baseColWidth="10" defaultRowHeight="15.75" x14ac:dyDescent="0.25"/>
  <cols>
    <col min="1" max="1" width="18" style="22" customWidth="1"/>
    <col min="2" max="2" width="6.85546875" style="22" customWidth="1"/>
    <col min="3" max="3" width="17.5703125" style="22" bestFit="1" customWidth="1"/>
    <col min="4" max="4" width="12.140625" style="22" bestFit="1" customWidth="1"/>
    <col min="5" max="5" width="13.7109375" style="22" bestFit="1" customWidth="1"/>
    <col min="6" max="6" width="13" style="22" bestFit="1" customWidth="1"/>
    <col min="7" max="7" width="13.85546875" style="22" bestFit="1" customWidth="1"/>
    <col min="8" max="8" width="13.7109375" style="22" bestFit="1" customWidth="1"/>
    <col min="9" max="9" width="15" style="22" bestFit="1" customWidth="1"/>
    <col min="10" max="13" width="15" style="22" customWidth="1"/>
    <col min="14" max="14" width="14" style="22" customWidth="1"/>
    <col min="15" max="15" width="12.85546875" style="22" customWidth="1"/>
    <col min="16" max="16" width="11.28515625" style="22" customWidth="1"/>
    <col min="17" max="17" width="11.5703125" style="22" customWidth="1"/>
    <col min="18" max="18" width="11.85546875" style="22" customWidth="1"/>
    <col min="19" max="258" width="9.140625" style="22" customWidth="1"/>
    <col min="259" max="259" width="12.5703125" style="22" customWidth="1"/>
    <col min="260" max="260" width="5.5703125" style="22" bestFit="1" customWidth="1"/>
    <col min="261" max="261" width="17.5703125" style="22" bestFit="1" customWidth="1"/>
    <col min="262" max="262" width="12.140625" style="22" bestFit="1" customWidth="1"/>
    <col min="263" max="263" width="13.7109375" style="22" bestFit="1" customWidth="1"/>
    <col min="264" max="264" width="13" style="22" bestFit="1" customWidth="1"/>
    <col min="265" max="265" width="13.85546875" style="22" bestFit="1" customWidth="1"/>
    <col min="266" max="266" width="13.7109375" style="22" bestFit="1" customWidth="1"/>
    <col min="267" max="267" width="10.28515625" style="22" bestFit="1" customWidth="1"/>
    <col min="268" max="268" width="9.85546875" style="22" customWidth="1"/>
    <col min="269" max="270" width="15" style="22" bestFit="1" customWidth="1"/>
    <col min="271" max="271" width="22.28515625" style="22" customWidth="1"/>
    <col min="272" max="272" width="15" style="22" bestFit="1" customWidth="1"/>
    <col min="273" max="514" width="9.140625" style="22" customWidth="1"/>
    <col min="515" max="515" width="12.5703125" style="22" customWidth="1"/>
    <col min="516" max="516" width="5.5703125" style="22" bestFit="1" customWidth="1"/>
    <col min="517" max="517" width="17.5703125" style="22" bestFit="1" customWidth="1"/>
    <col min="518" max="518" width="12.140625" style="22" bestFit="1" customWidth="1"/>
    <col min="519" max="519" width="13.7109375" style="22" bestFit="1" customWidth="1"/>
    <col min="520" max="520" width="13" style="22" bestFit="1" customWidth="1"/>
    <col min="521" max="521" width="13.85546875" style="22" bestFit="1" customWidth="1"/>
    <col min="522" max="522" width="13.7109375" style="22" bestFit="1" customWidth="1"/>
    <col min="523" max="523" width="10.28515625" style="22" bestFit="1" customWidth="1"/>
    <col min="524" max="524" width="9.85546875" style="22" customWidth="1"/>
    <col min="525" max="526" width="15" style="22" bestFit="1" customWidth="1"/>
    <col min="527" max="527" width="22.28515625" style="22" customWidth="1"/>
    <col min="528" max="528" width="15" style="22" bestFit="1" customWidth="1"/>
    <col min="529" max="770" width="9.140625" style="22" customWidth="1"/>
    <col min="771" max="771" width="12.5703125" style="22" customWidth="1"/>
    <col min="772" max="772" width="5.5703125" style="22" bestFit="1" customWidth="1"/>
    <col min="773" max="773" width="17.5703125" style="22" bestFit="1" customWidth="1"/>
    <col min="774" max="774" width="12.140625" style="22" bestFit="1" customWidth="1"/>
    <col min="775" max="775" width="13.7109375" style="22" bestFit="1" customWidth="1"/>
    <col min="776" max="776" width="13" style="22" bestFit="1" customWidth="1"/>
    <col min="777" max="777" width="13.85546875" style="22" bestFit="1" customWidth="1"/>
    <col min="778" max="778" width="13.7109375" style="22" bestFit="1" customWidth="1"/>
    <col min="779" max="779" width="10.28515625" style="22" bestFit="1" customWidth="1"/>
    <col min="780" max="780" width="9.85546875" style="22" customWidth="1"/>
    <col min="781" max="782" width="15" style="22" bestFit="1" customWidth="1"/>
    <col min="783" max="783" width="22.28515625" style="22" customWidth="1"/>
    <col min="784" max="784" width="15" style="22" bestFit="1" customWidth="1"/>
    <col min="785" max="1026" width="9.140625" style="22" customWidth="1"/>
    <col min="1027" max="1027" width="12.5703125" style="22" customWidth="1"/>
    <col min="1028" max="1028" width="5.5703125" style="22" bestFit="1" customWidth="1"/>
    <col min="1029" max="1029" width="17.5703125" style="22" bestFit="1" customWidth="1"/>
    <col min="1030" max="1030" width="12.140625" style="22" bestFit="1" customWidth="1"/>
    <col min="1031" max="1031" width="13.7109375" style="22" bestFit="1" customWidth="1"/>
    <col min="1032" max="1032" width="13" style="22" bestFit="1" customWidth="1"/>
    <col min="1033" max="1033" width="13.85546875" style="22" bestFit="1" customWidth="1"/>
    <col min="1034" max="1034" width="13.7109375" style="22" bestFit="1" customWidth="1"/>
    <col min="1035" max="1035" width="10.28515625" style="22" bestFit="1" customWidth="1"/>
    <col min="1036" max="1036" width="9.85546875" style="22" customWidth="1"/>
    <col min="1037" max="1038" width="15" style="22" bestFit="1" customWidth="1"/>
    <col min="1039" max="1039" width="22.28515625" style="22" customWidth="1"/>
    <col min="1040" max="1040" width="15" style="22" bestFit="1" customWidth="1"/>
    <col min="1041" max="1282" width="9.140625" style="22" customWidth="1"/>
    <col min="1283" max="1283" width="12.5703125" style="22" customWidth="1"/>
    <col min="1284" max="1284" width="5.5703125" style="22" bestFit="1" customWidth="1"/>
    <col min="1285" max="1285" width="17.5703125" style="22" bestFit="1" customWidth="1"/>
    <col min="1286" max="1286" width="12.140625" style="22" bestFit="1" customWidth="1"/>
    <col min="1287" max="1287" width="13.7109375" style="22" bestFit="1" customWidth="1"/>
    <col min="1288" max="1288" width="13" style="22" bestFit="1" customWidth="1"/>
    <col min="1289" max="1289" width="13.85546875" style="22" bestFit="1" customWidth="1"/>
    <col min="1290" max="1290" width="13.7109375" style="22" bestFit="1" customWidth="1"/>
    <col min="1291" max="1291" width="10.28515625" style="22" bestFit="1" customWidth="1"/>
    <col min="1292" max="1292" width="9.85546875" style="22" customWidth="1"/>
    <col min="1293" max="1294" width="15" style="22" bestFit="1" customWidth="1"/>
    <col min="1295" max="1295" width="22.28515625" style="22" customWidth="1"/>
    <col min="1296" max="1296" width="15" style="22" bestFit="1" customWidth="1"/>
    <col min="1297" max="1538" width="9.140625" style="22" customWidth="1"/>
    <col min="1539" max="1539" width="12.5703125" style="22" customWidth="1"/>
    <col min="1540" max="1540" width="5.5703125" style="22" bestFit="1" customWidth="1"/>
    <col min="1541" max="1541" width="17.5703125" style="22" bestFit="1" customWidth="1"/>
    <col min="1542" max="1542" width="12.140625" style="22" bestFit="1" customWidth="1"/>
    <col min="1543" max="1543" width="13.7109375" style="22" bestFit="1" customWidth="1"/>
    <col min="1544" max="1544" width="13" style="22" bestFit="1" customWidth="1"/>
    <col min="1545" max="1545" width="13.85546875" style="22" bestFit="1" customWidth="1"/>
    <col min="1546" max="1546" width="13.7109375" style="22" bestFit="1" customWidth="1"/>
    <col min="1547" max="1547" width="10.28515625" style="22" bestFit="1" customWidth="1"/>
    <col min="1548" max="1548" width="9.85546875" style="22" customWidth="1"/>
    <col min="1549" max="1550" width="15" style="22" bestFit="1" customWidth="1"/>
    <col min="1551" max="1551" width="22.28515625" style="22" customWidth="1"/>
    <col min="1552" max="1552" width="15" style="22" bestFit="1" customWidth="1"/>
    <col min="1553" max="1794" width="9.140625" style="22" customWidth="1"/>
    <col min="1795" max="1795" width="12.5703125" style="22" customWidth="1"/>
    <col min="1796" max="1796" width="5.5703125" style="22" bestFit="1" customWidth="1"/>
    <col min="1797" max="1797" width="17.5703125" style="22" bestFit="1" customWidth="1"/>
    <col min="1798" max="1798" width="12.140625" style="22" bestFit="1" customWidth="1"/>
    <col min="1799" max="1799" width="13.7109375" style="22" bestFit="1" customWidth="1"/>
    <col min="1800" max="1800" width="13" style="22" bestFit="1" customWidth="1"/>
    <col min="1801" max="1801" width="13.85546875" style="22" bestFit="1" customWidth="1"/>
    <col min="1802" max="1802" width="13.7109375" style="22" bestFit="1" customWidth="1"/>
    <col min="1803" max="1803" width="10.28515625" style="22" bestFit="1" customWidth="1"/>
    <col min="1804" max="1804" width="9.85546875" style="22" customWidth="1"/>
    <col min="1805" max="1806" width="15" style="22" bestFit="1" customWidth="1"/>
    <col min="1807" max="1807" width="22.28515625" style="22" customWidth="1"/>
    <col min="1808" max="1808" width="15" style="22" bestFit="1" customWidth="1"/>
    <col min="1809" max="2050" width="9.140625" style="22" customWidth="1"/>
    <col min="2051" max="2051" width="12.5703125" style="22" customWidth="1"/>
    <col min="2052" max="2052" width="5.5703125" style="22" bestFit="1" customWidth="1"/>
    <col min="2053" max="2053" width="17.5703125" style="22" bestFit="1" customWidth="1"/>
    <col min="2054" max="2054" width="12.140625" style="22" bestFit="1" customWidth="1"/>
    <col min="2055" max="2055" width="13.7109375" style="22" bestFit="1" customWidth="1"/>
    <col min="2056" max="2056" width="13" style="22" bestFit="1" customWidth="1"/>
    <col min="2057" max="2057" width="13.85546875" style="22" bestFit="1" customWidth="1"/>
    <col min="2058" max="2058" width="13.7109375" style="22" bestFit="1" customWidth="1"/>
    <col min="2059" max="2059" width="10.28515625" style="22" bestFit="1" customWidth="1"/>
    <col min="2060" max="2060" width="9.85546875" style="22" customWidth="1"/>
    <col min="2061" max="2062" width="15" style="22" bestFit="1" customWidth="1"/>
    <col min="2063" max="2063" width="22.28515625" style="22" customWidth="1"/>
    <col min="2064" max="2064" width="15" style="22" bestFit="1" customWidth="1"/>
    <col min="2065" max="2306" width="9.140625" style="22" customWidth="1"/>
    <col min="2307" max="2307" width="12.5703125" style="22" customWidth="1"/>
    <col min="2308" max="2308" width="5.5703125" style="22" bestFit="1" customWidth="1"/>
    <col min="2309" max="2309" width="17.5703125" style="22" bestFit="1" customWidth="1"/>
    <col min="2310" max="2310" width="12.140625" style="22" bestFit="1" customWidth="1"/>
    <col min="2311" max="2311" width="13.7109375" style="22" bestFit="1" customWidth="1"/>
    <col min="2312" max="2312" width="13" style="22" bestFit="1" customWidth="1"/>
    <col min="2313" max="2313" width="13.85546875" style="22" bestFit="1" customWidth="1"/>
    <col min="2314" max="2314" width="13.7109375" style="22" bestFit="1" customWidth="1"/>
    <col min="2315" max="2315" width="10.28515625" style="22" bestFit="1" customWidth="1"/>
    <col min="2316" max="2316" width="9.85546875" style="22" customWidth="1"/>
    <col min="2317" max="2318" width="15" style="22" bestFit="1" customWidth="1"/>
    <col min="2319" max="2319" width="22.28515625" style="22" customWidth="1"/>
    <col min="2320" max="2320" width="15" style="22" bestFit="1" customWidth="1"/>
    <col min="2321" max="2562" width="9.140625" style="22" customWidth="1"/>
    <col min="2563" max="2563" width="12.5703125" style="22" customWidth="1"/>
    <col min="2564" max="2564" width="5.5703125" style="22" bestFit="1" customWidth="1"/>
    <col min="2565" max="2565" width="17.5703125" style="22" bestFit="1" customWidth="1"/>
    <col min="2566" max="2566" width="12.140625" style="22" bestFit="1" customWidth="1"/>
    <col min="2567" max="2567" width="13.7109375" style="22" bestFit="1" customWidth="1"/>
    <col min="2568" max="2568" width="13" style="22" bestFit="1" customWidth="1"/>
    <col min="2569" max="2569" width="13.85546875" style="22" bestFit="1" customWidth="1"/>
    <col min="2570" max="2570" width="13.7109375" style="22" bestFit="1" customWidth="1"/>
    <col min="2571" max="2571" width="10.28515625" style="22" bestFit="1" customWidth="1"/>
    <col min="2572" max="2572" width="9.85546875" style="22" customWidth="1"/>
    <col min="2573" max="2574" width="15" style="22" bestFit="1" customWidth="1"/>
    <col min="2575" max="2575" width="22.28515625" style="22" customWidth="1"/>
    <col min="2576" max="2576" width="15" style="22" bestFit="1" customWidth="1"/>
    <col min="2577" max="2818" width="9.140625" style="22" customWidth="1"/>
    <col min="2819" max="2819" width="12.5703125" style="22" customWidth="1"/>
    <col min="2820" max="2820" width="5.5703125" style="22" bestFit="1" customWidth="1"/>
    <col min="2821" max="2821" width="17.5703125" style="22" bestFit="1" customWidth="1"/>
    <col min="2822" max="2822" width="12.140625" style="22" bestFit="1" customWidth="1"/>
    <col min="2823" max="2823" width="13.7109375" style="22" bestFit="1" customWidth="1"/>
    <col min="2824" max="2824" width="13" style="22" bestFit="1" customWidth="1"/>
    <col min="2825" max="2825" width="13.85546875" style="22" bestFit="1" customWidth="1"/>
    <col min="2826" max="2826" width="13.7109375" style="22" bestFit="1" customWidth="1"/>
    <col min="2827" max="2827" width="10.28515625" style="22" bestFit="1" customWidth="1"/>
    <col min="2828" max="2828" width="9.85546875" style="22" customWidth="1"/>
    <col min="2829" max="2830" width="15" style="22" bestFit="1" customWidth="1"/>
    <col min="2831" max="2831" width="22.28515625" style="22" customWidth="1"/>
    <col min="2832" max="2832" width="15" style="22" bestFit="1" customWidth="1"/>
    <col min="2833" max="3074" width="9.140625" style="22" customWidth="1"/>
    <col min="3075" max="3075" width="12.5703125" style="22" customWidth="1"/>
    <col min="3076" max="3076" width="5.5703125" style="22" bestFit="1" customWidth="1"/>
    <col min="3077" max="3077" width="17.5703125" style="22" bestFit="1" customWidth="1"/>
    <col min="3078" max="3078" width="12.140625" style="22" bestFit="1" customWidth="1"/>
    <col min="3079" max="3079" width="13.7109375" style="22" bestFit="1" customWidth="1"/>
    <col min="3080" max="3080" width="13" style="22" bestFit="1" customWidth="1"/>
    <col min="3081" max="3081" width="13.85546875" style="22" bestFit="1" customWidth="1"/>
    <col min="3082" max="3082" width="13.7109375" style="22" bestFit="1" customWidth="1"/>
    <col min="3083" max="3083" width="10.28515625" style="22" bestFit="1" customWidth="1"/>
    <col min="3084" max="3084" width="9.85546875" style="22" customWidth="1"/>
    <col min="3085" max="3086" width="15" style="22" bestFit="1" customWidth="1"/>
    <col min="3087" max="3087" width="22.28515625" style="22" customWidth="1"/>
    <col min="3088" max="3088" width="15" style="22" bestFit="1" customWidth="1"/>
    <col min="3089" max="3330" width="9.140625" style="22" customWidth="1"/>
    <col min="3331" max="3331" width="12.5703125" style="22" customWidth="1"/>
    <col min="3332" max="3332" width="5.5703125" style="22" bestFit="1" customWidth="1"/>
    <col min="3333" max="3333" width="17.5703125" style="22" bestFit="1" customWidth="1"/>
    <col min="3334" max="3334" width="12.140625" style="22" bestFit="1" customWidth="1"/>
    <col min="3335" max="3335" width="13.7109375" style="22" bestFit="1" customWidth="1"/>
    <col min="3336" max="3336" width="13" style="22" bestFit="1" customWidth="1"/>
    <col min="3337" max="3337" width="13.85546875" style="22" bestFit="1" customWidth="1"/>
    <col min="3338" max="3338" width="13.7109375" style="22" bestFit="1" customWidth="1"/>
    <col min="3339" max="3339" width="10.28515625" style="22" bestFit="1" customWidth="1"/>
    <col min="3340" max="3340" width="9.85546875" style="22" customWidth="1"/>
    <col min="3341" max="3342" width="15" style="22" bestFit="1" customWidth="1"/>
    <col min="3343" max="3343" width="22.28515625" style="22" customWidth="1"/>
    <col min="3344" max="3344" width="15" style="22" bestFit="1" customWidth="1"/>
    <col min="3345" max="3586" width="9.140625" style="22" customWidth="1"/>
    <col min="3587" max="3587" width="12.5703125" style="22" customWidth="1"/>
    <col min="3588" max="3588" width="5.5703125" style="22" bestFit="1" customWidth="1"/>
    <col min="3589" max="3589" width="17.5703125" style="22" bestFit="1" customWidth="1"/>
    <col min="3590" max="3590" width="12.140625" style="22" bestFit="1" customWidth="1"/>
    <col min="3591" max="3591" width="13.7109375" style="22" bestFit="1" customWidth="1"/>
    <col min="3592" max="3592" width="13" style="22" bestFit="1" customWidth="1"/>
    <col min="3593" max="3593" width="13.85546875" style="22" bestFit="1" customWidth="1"/>
    <col min="3594" max="3594" width="13.7109375" style="22" bestFit="1" customWidth="1"/>
    <col min="3595" max="3595" width="10.28515625" style="22" bestFit="1" customWidth="1"/>
    <col min="3596" max="3596" width="9.85546875" style="22" customWidth="1"/>
    <col min="3597" max="3598" width="15" style="22" bestFit="1" customWidth="1"/>
    <col min="3599" max="3599" width="22.28515625" style="22" customWidth="1"/>
    <col min="3600" max="3600" width="15" style="22" bestFit="1" customWidth="1"/>
    <col min="3601" max="3842" width="9.140625" style="22" customWidth="1"/>
    <col min="3843" max="3843" width="12.5703125" style="22" customWidth="1"/>
    <col min="3844" max="3844" width="5.5703125" style="22" bestFit="1" customWidth="1"/>
    <col min="3845" max="3845" width="17.5703125" style="22" bestFit="1" customWidth="1"/>
    <col min="3846" max="3846" width="12.140625" style="22" bestFit="1" customWidth="1"/>
    <col min="3847" max="3847" width="13.7109375" style="22" bestFit="1" customWidth="1"/>
    <col min="3848" max="3848" width="13" style="22" bestFit="1" customWidth="1"/>
    <col min="3849" max="3849" width="13.85546875" style="22" bestFit="1" customWidth="1"/>
    <col min="3850" max="3850" width="13.7109375" style="22" bestFit="1" customWidth="1"/>
    <col min="3851" max="3851" width="10.28515625" style="22" bestFit="1" customWidth="1"/>
    <col min="3852" max="3852" width="9.85546875" style="22" customWidth="1"/>
    <col min="3853" max="3854" width="15" style="22" bestFit="1" customWidth="1"/>
    <col min="3855" max="3855" width="22.28515625" style="22" customWidth="1"/>
    <col min="3856" max="3856" width="15" style="22" bestFit="1" customWidth="1"/>
    <col min="3857" max="4098" width="9.140625" style="22" customWidth="1"/>
    <col min="4099" max="4099" width="12.5703125" style="22" customWidth="1"/>
    <col min="4100" max="4100" width="5.5703125" style="22" bestFit="1" customWidth="1"/>
    <col min="4101" max="4101" width="17.5703125" style="22" bestFit="1" customWidth="1"/>
    <col min="4102" max="4102" width="12.140625" style="22" bestFit="1" customWidth="1"/>
    <col min="4103" max="4103" width="13.7109375" style="22" bestFit="1" customWidth="1"/>
    <col min="4104" max="4104" width="13" style="22" bestFit="1" customWidth="1"/>
    <col min="4105" max="4105" width="13.85546875" style="22" bestFit="1" customWidth="1"/>
    <col min="4106" max="4106" width="13.7109375" style="22" bestFit="1" customWidth="1"/>
    <col min="4107" max="4107" width="10.28515625" style="22" bestFit="1" customWidth="1"/>
    <col min="4108" max="4108" width="9.85546875" style="22" customWidth="1"/>
    <col min="4109" max="4110" width="15" style="22" bestFit="1" customWidth="1"/>
    <col min="4111" max="4111" width="22.28515625" style="22" customWidth="1"/>
    <col min="4112" max="4112" width="15" style="22" bestFit="1" customWidth="1"/>
    <col min="4113" max="4354" width="9.140625" style="22" customWidth="1"/>
    <col min="4355" max="4355" width="12.5703125" style="22" customWidth="1"/>
    <col min="4356" max="4356" width="5.5703125" style="22" bestFit="1" customWidth="1"/>
    <col min="4357" max="4357" width="17.5703125" style="22" bestFit="1" customWidth="1"/>
    <col min="4358" max="4358" width="12.140625" style="22" bestFit="1" customWidth="1"/>
    <col min="4359" max="4359" width="13.7109375" style="22" bestFit="1" customWidth="1"/>
    <col min="4360" max="4360" width="13" style="22" bestFit="1" customWidth="1"/>
    <col min="4361" max="4361" width="13.85546875" style="22" bestFit="1" customWidth="1"/>
    <col min="4362" max="4362" width="13.7109375" style="22" bestFit="1" customWidth="1"/>
    <col min="4363" max="4363" width="10.28515625" style="22" bestFit="1" customWidth="1"/>
    <col min="4364" max="4364" width="9.85546875" style="22" customWidth="1"/>
    <col min="4365" max="4366" width="15" style="22" bestFit="1" customWidth="1"/>
    <col min="4367" max="4367" width="22.28515625" style="22" customWidth="1"/>
    <col min="4368" max="4368" width="15" style="22" bestFit="1" customWidth="1"/>
    <col min="4369" max="4610" width="9.140625" style="22" customWidth="1"/>
    <col min="4611" max="4611" width="12.5703125" style="22" customWidth="1"/>
    <col min="4612" max="4612" width="5.5703125" style="22" bestFit="1" customWidth="1"/>
    <col min="4613" max="4613" width="17.5703125" style="22" bestFit="1" customWidth="1"/>
    <col min="4614" max="4614" width="12.140625" style="22" bestFit="1" customWidth="1"/>
    <col min="4615" max="4615" width="13.7109375" style="22" bestFit="1" customWidth="1"/>
    <col min="4616" max="4616" width="13" style="22" bestFit="1" customWidth="1"/>
    <col min="4617" max="4617" width="13.85546875" style="22" bestFit="1" customWidth="1"/>
    <col min="4618" max="4618" width="13.7109375" style="22" bestFit="1" customWidth="1"/>
    <col min="4619" max="4619" width="10.28515625" style="22" bestFit="1" customWidth="1"/>
    <col min="4620" max="4620" width="9.85546875" style="22" customWidth="1"/>
    <col min="4621" max="4622" width="15" style="22" bestFit="1" customWidth="1"/>
    <col min="4623" max="4623" width="22.28515625" style="22" customWidth="1"/>
    <col min="4624" max="4624" width="15" style="22" bestFit="1" customWidth="1"/>
    <col min="4625" max="4866" width="9.140625" style="22" customWidth="1"/>
    <col min="4867" max="4867" width="12.5703125" style="22" customWidth="1"/>
    <col min="4868" max="4868" width="5.5703125" style="22" bestFit="1" customWidth="1"/>
    <col min="4869" max="4869" width="17.5703125" style="22" bestFit="1" customWidth="1"/>
    <col min="4870" max="4870" width="12.140625" style="22" bestFit="1" customWidth="1"/>
    <col min="4871" max="4871" width="13.7109375" style="22" bestFit="1" customWidth="1"/>
    <col min="4872" max="4872" width="13" style="22" bestFit="1" customWidth="1"/>
    <col min="4873" max="4873" width="13.85546875" style="22" bestFit="1" customWidth="1"/>
    <col min="4874" max="4874" width="13.7109375" style="22" bestFit="1" customWidth="1"/>
    <col min="4875" max="4875" width="10.28515625" style="22" bestFit="1" customWidth="1"/>
    <col min="4876" max="4876" width="9.85546875" style="22" customWidth="1"/>
    <col min="4877" max="4878" width="15" style="22" bestFit="1" customWidth="1"/>
    <col min="4879" max="4879" width="22.28515625" style="22" customWidth="1"/>
    <col min="4880" max="4880" width="15" style="22" bestFit="1" customWidth="1"/>
    <col min="4881" max="5122" width="9.140625" style="22" customWidth="1"/>
    <col min="5123" max="5123" width="12.5703125" style="22" customWidth="1"/>
    <col min="5124" max="5124" width="5.5703125" style="22" bestFit="1" customWidth="1"/>
    <col min="5125" max="5125" width="17.5703125" style="22" bestFit="1" customWidth="1"/>
    <col min="5126" max="5126" width="12.140625" style="22" bestFit="1" customWidth="1"/>
    <col min="5127" max="5127" width="13.7109375" style="22" bestFit="1" customWidth="1"/>
    <col min="5128" max="5128" width="13" style="22" bestFit="1" customWidth="1"/>
    <col min="5129" max="5129" width="13.85546875" style="22" bestFit="1" customWidth="1"/>
    <col min="5130" max="5130" width="13.7109375" style="22" bestFit="1" customWidth="1"/>
    <col min="5131" max="5131" width="10.28515625" style="22" bestFit="1" customWidth="1"/>
    <col min="5132" max="5132" width="9.85546875" style="22" customWidth="1"/>
    <col min="5133" max="5134" width="15" style="22" bestFit="1" customWidth="1"/>
    <col min="5135" max="5135" width="22.28515625" style="22" customWidth="1"/>
    <col min="5136" max="5136" width="15" style="22" bestFit="1" customWidth="1"/>
    <col min="5137" max="5378" width="9.140625" style="22" customWidth="1"/>
    <col min="5379" max="5379" width="12.5703125" style="22" customWidth="1"/>
    <col min="5380" max="5380" width="5.5703125" style="22" bestFit="1" customWidth="1"/>
    <col min="5381" max="5381" width="17.5703125" style="22" bestFit="1" customWidth="1"/>
    <col min="5382" max="5382" width="12.140625" style="22" bestFit="1" customWidth="1"/>
    <col min="5383" max="5383" width="13.7109375" style="22" bestFit="1" customWidth="1"/>
    <col min="5384" max="5384" width="13" style="22" bestFit="1" customWidth="1"/>
    <col min="5385" max="5385" width="13.85546875" style="22" bestFit="1" customWidth="1"/>
    <col min="5386" max="5386" width="13.7109375" style="22" bestFit="1" customWidth="1"/>
    <col min="5387" max="5387" width="10.28515625" style="22" bestFit="1" customWidth="1"/>
    <col min="5388" max="5388" width="9.85546875" style="22" customWidth="1"/>
    <col min="5389" max="5390" width="15" style="22" bestFit="1" customWidth="1"/>
    <col min="5391" max="5391" width="22.28515625" style="22" customWidth="1"/>
    <col min="5392" max="5392" width="15" style="22" bestFit="1" customWidth="1"/>
    <col min="5393" max="5634" width="9.140625" style="22" customWidth="1"/>
    <col min="5635" max="5635" width="12.5703125" style="22" customWidth="1"/>
    <col min="5636" max="5636" width="5.5703125" style="22" bestFit="1" customWidth="1"/>
    <col min="5637" max="5637" width="17.5703125" style="22" bestFit="1" customWidth="1"/>
    <col min="5638" max="5638" width="12.140625" style="22" bestFit="1" customWidth="1"/>
    <col min="5639" max="5639" width="13.7109375" style="22" bestFit="1" customWidth="1"/>
    <col min="5640" max="5640" width="13" style="22" bestFit="1" customWidth="1"/>
    <col min="5641" max="5641" width="13.85546875" style="22" bestFit="1" customWidth="1"/>
    <col min="5642" max="5642" width="13.7109375" style="22" bestFit="1" customWidth="1"/>
    <col min="5643" max="5643" width="10.28515625" style="22" bestFit="1" customWidth="1"/>
    <col min="5644" max="5644" width="9.85546875" style="22" customWidth="1"/>
    <col min="5645" max="5646" width="15" style="22" bestFit="1" customWidth="1"/>
    <col min="5647" max="5647" width="22.28515625" style="22" customWidth="1"/>
    <col min="5648" max="5648" width="15" style="22" bestFit="1" customWidth="1"/>
    <col min="5649" max="5890" width="9.140625" style="22" customWidth="1"/>
    <col min="5891" max="5891" width="12.5703125" style="22" customWidth="1"/>
    <col min="5892" max="5892" width="5.5703125" style="22" bestFit="1" customWidth="1"/>
    <col min="5893" max="5893" width="17.5703125" style="22" bestFit="1" customWidth="1"/>
    <col min="5894" max="5894" width="12.140625" style="22" bestFit="1" customWidth="1"/>
    <col min="5895" max="5895" width="13.7109375" style="22" bestFit="1" customWidth="1"/>
    <col min="5896" max="5896" width="13" style="22" bestFit="1" customWidth="1"/>
    <col min="5897" max="5897" width="13.85546875" style="22" bestFit="1" customWidth="1"/>
    <col min="5898" max="5898" width="13.7109375" style="22" bestFit="1" customWidth="1"/>
    <col min="5899" max="5899" width="10.28515625" style="22" bestFit="1" customWidth="1"/>
    <col min="5900" max="5900" width="9.85546875" style="22" customWidth="1"/>
    <col min="5901" max="5902" width="15" style="22" bestFit="1" customWidth="1"/>
    <col min="5903" max="5903" width="22.28515625" style="22" customWidth="1"/>
    <col min="5904" max="5904" width="15" style="22" bestFit="1" customWidth="1"/>
    <col min="5905" max="6146" width="9.140625" style="22" customWidth="1"/>
    <col min="6147" max="6147" width="12.5703125" style="22" customWidth="1"/>
    <col min="6148" max="6148" width="5.5703125" style="22" bestFit="1" customWidth="1"/>
    <col min="6149" max="6149" width="17.5703125" style="22" bestFit="1" customWidth="1"/>
    <col min="6150" max="6150" width="12.140625" style="22" bestFit="1" customWidth="1"/>
    <col min="6151" max="6151" width="13.7109375" style="22" bestFit="1" customWidth="1"/>
    <col min="6152" max="6152" width="13" style="22" bestFit="1" customWidth="1"/>
    <col min="6153" max="6153" width="13.85546875" style="22" bestFit="1" customWidth="1"/>
    <col min="6154" max="6154" width="13.7109375" style="22" bestFit="1" customWidth="1"/>
    <col min="6155" max="6155" width="10.28515625" style="22" bestFit="1" customWidth="1"/>
    <col min="6156" max="6156" width="9.85546875" style="22" customWidth="1"/>
    <col min="6157" max="6158" width="15" style="22" bestFit="1" customWidth="1"/>
    <col min="6159" max="6159" width="22.28515625" style="22" customWidth="1"/>
    <col min="6160" max="6160" width="15" style="22" bestFit="1" customWidth="1"/>
    <col min="6161" max="6402" width="9.140625" style="22" customWidth="1"/>
    <col min="6403" max="6403" width="12.5703125" style="22" customWidth="1"/>
    <col min="6404" max="6404" width="5.5703125" style="22" bestFit="1" customWidth="1"/>
    <col min="6405" max="6405" width="17.5703125" style="22" bestFit="1" customWidth="1"/>
    <col min="6406" max="6406" width="12.140625" style="22" bestFit="1" customWidth="1"/>
    <col min="6407" max="6407" width="13.7109375" style="22" bestFit="1" customWidth="1"/>
    <col min="6408" max="6408" width="13" style="22" bestFit="1" customWidth="1"/>
    <col min="6409" max="6409" width="13.85546875" style="22" bestFit="1" customWidth="1"/>
    <col min="6410" max="6410" width="13.7109375" style="22" bestFit="1" customWidth="1"/>
    <col min="6411" max="6411" width="10.28515625" style="22" bestFit="1" customWidth="1"/>
    <col min="6412" max="6412" width="9.85546875" style="22" customWidth="1"/>
    <col min="6413" max="6414" width="15" style="22" bestFit="1" customWidth="1"/>
    <col min="6415" max="6415" width="22.28515625" style="22" customWidth="1"/>
    <col min="6416" max="6416" width="15" style="22" bestFit="1" customWidth="1"/>
    <col min="6417" max="6658" width="9.140625" style="22" customWidth="1"/>
    <col min="6659" max="6659" width="12.5703125" style="22" customWidth="1"/>
    <col min="6660" max="6660" width="5.5703125" style="22" bestFit="1" customWidth="1"/>
    <col min="6661" max="6661" width="17.5703125" style="22" bestFit="1" customWidth="1"/>
    <col min="6662" max="6662" width="12.140625" style="22" bestFit="1" customWidth="1"/>
    <col min="6663" max="6663" width="13.7109375" style="22" bestFit="1" customWidth="1"/>
    <col min="6664" max="6664" width="13" style="22" bestFit="1" customWidth="1"/>
    <col min="6665" max="6665" width="13.85546875" style="22" bestFit="1" customWidth="1"/>
    <col min="6666" max="6666" width="13.7109375" style="22" bestFit="1" customWidth="1"/>
    <col min="6667" max="6667" width="10.28515625" style="22" bestFit="1" customWidth="1"/>
    <col min="6668" max="6668" width="9.85546875" style="22" customWidth="1"/>
    <col min="6669" max="6670" width="15" style="22" bestFit="1" customWidth="1"/>
    <col min="6671" max="6671" width="22.28515625" style="22" customWidth="1"/>
    <col min="6672" max="6672" width="15" style="22" bestFit="1" customWidth="1"/>
    <col min="6673" max="6914" width="9.140625" style="22" customWidth="1"/>
    <col min="6915" max="6915" width="12.5703125" style="22" customWidth="1"/>
    <col min="6916" max="6916" width="5.5703125" style="22" bestFit="1" customWidth="1"/>
    <col min="6917" max="6917" width="17.5703125" style="22" bestFit="1" customWidth="1"/>
    <col min="6918" max="6918" width="12.140625" style="22" bestFit="1" customWidth="1"/>
    <col min="6919" max="6919" width="13.7109375" style="22" bestFit="1" customWidth="1"/>
    <col min="6920" max="6920" width="13" style="22" bestFit="1" customWidth="1"/>
    <col min="6921" max="6921" width="13.85546875" style="22" bestFit="1" customWidth="1"/>
    <col min="6922" max="6922" width="13.7109375" style="22" bestFit="1" customWidth="1"/>
    <col min="6923" max="6923" width="10.28515625" style="22" bestFit="1" customWidth="1"/>
    <col min="6924" max="6924" width="9.85546875" style="22" customWidth="1"/>
    <col min="6925" max="6926" width="15" style="22" bestFit="1" customWidth="1"/>
    <col min="6927" max="6927" width="22.28515625" style="22" customWidth="1"/>
    <col min="6928" max="6928" width="15" style="22" bestFit="1" customWidth="1"/>
    <col min="6929" max="7170" width="9.140625" style="22" customWidth="1"/>
    <col min="7171" max="7171" width="12.5703125" style="22" customWidth="1"/>
    <col min="7172" max="7172" width="5.5703125" style="22" bestFit="1" customWidth="1"/>
    <col min="7173" max="7173" width="17.5703125" style="22" bestFit="1" customWidth="1"/>
    <col min="7174" max="7174" width="12.140625" style="22" bestFit="1" customWidth="1"/>
    <col min="7175" max="7175" width="13.7109375" style="22" bestFit="1" customWidth="1"/>
    <col min="7176" max="7176" width="13" style="22" bestFit="1" customWidth="1"/>
    <col min="7177" max="7177" width="13.85546875" style="22" bestFit="1" customWidth="1"/>
    <col min="7178" max="7178" width="13.7109375" style="22" bestFit="1" customWidth="1"/>
    <col min="7179" max="7179" width="10.28515625" style="22" bestFit="1" customWidth="1"/>
    <col min="7180" max="7180" width="9.85546875" style="22" customWidth="1"/>
    <col min="7181" max="7182" width="15" style="22" bestFit="1" customWidth="1"/>
    <col min="7183" max="7183" width="22.28515625" style="22" customWidth="1"/>
    <col min="7184" max="7184" width="15" style="22" bestFit="1" customWidth="1"/>
    <col min="7185" max="7426" width="9.140625" style="22" customWidth="1"/>
    <col min="7427" max="7427" width="12.5703125" style="22" customWidth="1"/>
    <col min="7428" max="7428" width="5.5703125" style="22" bestFit="1" customWidth="1"/>
    <col min="7429" max="7429" width="17.5703125" style="22" bestFit="1" customWidth="1"/>
    <col min="7430" max="7430" width="12.140625" style="22" bestFit="1" customWidth="1"/>
    <col min="7431" max="7431" width="13.7109375" style="22" bestFit="1" customWidth="1"/>
    <col min="7432" max="7432" width="13" style="22" bestFit="1" customWidth="1"/>
    <col min="7433" max="7433" width="13.85546875" style="22" bestFit="1" customWidth="1"/>
    <col min="7434" max="7434" width="13.7109375" style="22" bestFit="1" customWidth="1"/>
    <col min="7435" max="7435" width="10.28515625" style="22" bestFit="1" customWidth="1"/>
    <col min="7436" max="7436" width="9.85546875" style="22" customWidth="1"/>
    <col min="7437" max="7438" width="15" style="22" bestFit="1" customWidth="1"/>
    <col min="7439" max="7439" width="22.28515625" style="22" customWidth="1"/>
    <col min="7440" max="7440" width="15" style="22" bestFit="1" customWidth="1"/>
    <col min="7441" max="7682" width="9.140625" style="22" customWidth="1"/>
    <col min="7683" max="7683" width="12.5703125" style="22" customWidth="1"/>
    <col min="7684" max="7684" width="5.5703125" style="22" bestFit="1" customWidth="1"/>
    <col min="7685" max="7685" width="17.5703125" style="22" bestFit="1" customWidth="1"/>
    <col min="7686" max="7686" width="12.140625" style="22" bestFit="1" customWidth="1"/>
    <col min="7687" max="7687" width="13.7109375" style="22" bestFit="1" customWidth="1"/>
    <col min="7688" max="7688" width="13" style="22" bestFit="1" customWidth="1"/>
    <col min="7689" max="7689" width="13.85546875" style="22" bestFit="1" customWidth="1"/>
    <col min="7690" max="7690" width="13.7109375" style="22" bestFit="1" customWidth="1"/>
    <col min="7691" max="7691" width="10.28515625" style="22" bestFit="1" customWidth="1"/>
    <col min="7692" max="7692" width="9.85546875" style="22" customWidth="1"/>
    <col min="7693" max="7694" width="15" style="22" bestFit="1" customWidth="1"/>
    <col min="7695" max="7695" width="22.28515625" style="22" customWidth="1"/>
    <col min="7696" max="7696" width="15" style="22" bestFit="1" customWidth="1"/>
    <col min="7697" max="7938" width="9.140625" style="22" customWidth="1"/>
    <col min="7939" max="7939" width="12.5703125" style="22" customWidth="1"/>
    <col min="7940" max="7940" width="5.5703125" style="22" bestFit="1" customWidth="1"/>
    <col min="7941" max="7941" width="17.5703125" style="22" bestFit="1" customWidth="1"/>
    <col min="7942" max="7942" width="12.140625" style="22" bestFit="1" customWidth="1"/>
    <col min="7943" max="7943" width="13.7109375" style="22" bestFit="1" customWidth="1"/>
    <col min="7944" max="7944" width="13" style="22" bestFit="1" customWidth="1"/>
    <col min="7945" max="7945" width="13.85546875" style="22" bestFit="1" customWidth="1"/>
    <col min="7946" max="7946" width="13.7109375" style="22" bestFit="1" customWidth="1"/>
    <col min="7947" max="7947" width="10.28515625" style="22" bestFit="1" customWidth="1"/>
    <col min="7948" max="7948" width="9.85546875" style="22" customWidth="1"/>
    <col min="7949" max="7950" width="15" style="22" bestFit="1" customWidth="1"/>
    <col min="7951" max="7951" width="22.28515625" style="22" customWidth="1"/>
    <col min="7952" max="7952" width="15" style="22" bestFit="1" customWidth="1"/>
    <col min="7953" max="8194" width="9.140625" style="22" customWidth="1"/>
    <col min="8195" max="8195" width="12.5703125" style="22" customWidth="1"/>
    <col min="8196" max="8196" width="5.5703125" style="22" bestFit="1" customWidth="1"/>
    <col min="8197" max="8197" width="17.5703125" style="22" bestFit="1" customWidth="1"/>
    <col min="8198" max="8198" width="12.140625" style="22" bestFit="1" customWidth="1"/>
    <col min="8199" max="8199" width="13.7109375" style="22" bestFit="1" customWidth="1"/>
    <col min="8200" max="8200" width="13" style="22" bestFit="1" customWidth="1"/>
    <col min="8201" max="8201" width="13.85546875" style="22" bestFit="1" customWidth="1"/>
    <col min="8202" max="8202" width="13.7109375" style="22" bestFit="1" customWidth="1"/>
    <col min="8203" max="8203" width="10.28515625" style="22" bestFit="1" customWidth="1"/>
    <col min="8204" max="8204" width="9.85546875" style="22" customWidth="1"/>
    <col min="8205" max="8206" width="15" style="22" bestFit="1" customWidth="1"/>
    <col min="8207" max="8207" width="22.28515625" style="22" customWidth="1"/>
    <col min="8208" max="8208" width="15" style="22" bestFit="1" customWidth="1"/>
    <col min="8209" max="8450" width="9.140625" style="22" customWidth="1"/>
    <col min="8451" max="8451" width="12.5703125" style="22" customWidth="1"/>
    <col min="8452" max="8452" width="5.5703125" style="22" bestFit="1" customWidth="1"/>
    <col min="8453" max="8453" width="17.5703125" style="22" bestFit="1" customWidth="1"/>
    <col min="8454" max="8454" width="12.140625" style="22" bestFit="1" customWidth="1"/>
    <col min="8455" max="8455" width="13.7109375" style="22" bestFit="1" customWidth="1"/>
    <col min="8456" max="8456" width="13" style="22" bestFit="1" customWidth="1"/>
    <col min="8457" max="8457" width="13.85546875" style="22" bestFit="1" customWidth="1"/>
    <col min="8458" max="8458" width="13.7109375" style="22" bestFit="1" customWidth="1"/>
    <col min="8459" max="8459" width="10.28515625" style="22" bestFit="1" customWidth="1"/>
    <col min="8460" max="8460" width="9.85546875" style="22" customWidth="1"/>
    <col min="8461" max="8462" width="15" style="22" bestFit="1" customWidth="1"/>
    <col min="8463" max="8463" width="22.28515625" style="22" customWidth="1"/>
    <col min="8464" max="8464" width="15" style="22" bestFit="1" customWidth="1"/>
    <col min="8465" max="8706" width="9.140625" style="22" customWidth="1"/>
    <col min="8707" max="8707" width="12.5703125" style="22" customWidth="1"/>
    <col min="8708" max="8708" width="5.5703125" style="22" bestFit="1" customWidth="1"/>
    <col min="8709" max="8709" width="17.5703125" style="22" bestFit="1" customWidth="1"/>
    <col min="8710" max="8710" width="12.140625" style="22" bestFit="1" customWidth="1"/>
    <col min="8711" max="8711" width="13.7109375" style="22" bestFit="1" customWidth="1"/>
    <col min="8712" max="8712" width="13" style="22" bestFit="1" customWidth="1"/>
    <col min="8713" max="8713" width="13.85546875" style="22" bestFit="1" customWidth="1"/>
    <col min="8714" max="8714" width="13.7109375" style="22" bestFit="1" customWidth="1"/>
    <col min="8715" max="8715" width="10.28515625" style="22" bestFit="1" customWidth="1"/>
    <col min="8716" max="8716" width="9.85546875" style="22" customWidth="1"/>
    <col min="8717" max="8718" width="15" style="22" bestFit="1" customWidth="1"/>
    <col min="8719" max="8719" width="22.28515625" style="22" customWidth="1"/>
    <col min="8720" max="8720" width="15" style="22" bestFit="1" customWidth="1"/>
    <col min="8721" max="8962" width="9.140625" style="22" customWidth="1"/>
    <col min="8963" max="8963" width="12.5703125" style="22" customWidth="1"/>
    <col min="8964" max="8964" width="5.5703125" style="22" bestFit="1" customWidth="1"/>
    <col min="8965" max="8965" width="17.5703125" style="22" bestFit="1" customWidth="1"/>
    <col min="8966" max="8966" width="12.140625" style="22" bestFit="1" customWidth="1"/>
    <col min="8967" max="8967" width="13.7109375" style="22" bestFit="1" customWidth="1"/>
    <col min="8968" max="8968" width="13" style="22" bestFit="1" customWidth="1"/>
    <col min="8969" max="8969" width="13.85546875" style="22" bestFit="1" customWidth="1"/>
    <col min="8970" max="8970" width="13.7109375" style="22" bestFit="1" customWidth="1"/>
    <col min="8971" max="8971" width="10.28515625" style="22" bestFit="1" customWidth="1"/>
    <col min="8972" max="8972" width="9.85546875" style="22" customWidth="1"/>
    <col min="8973" max="8974" width="15" style="22" bestFit="1" customWidth="1"/>
    <col min="8975" max="8975" width="22.28515625" style="22" customWidth="1"/>
    <col min="8976" max="8976" width="15" style="22" bestFit="1" customWidth="1"/>
    <col min="8977" max="9218" width="9.140625" style="22" customWidth="1"/>
    <col min="9219" max="9219" width="12.5703125" style="22" customWidth="1"/>
    <col min="9220" max="9220" width="5.5703125" style="22" bestFit="1" customWidth="1"/>
    <col min="9221" max="9221" width="17.5703125" style="22" bestFit="1" customWidth="1"/>
    <col min="9222" max="9222" width="12.140625" style="22" bestFit="1" customWidth="1"/>
    <col min="9223" max="9223" width="13.7109375" style="22" bestFit="1" customWidth="1"/>
    <col min="9224" max="9224" width="13" style="22" bestFit="1" customWidth="1"/>
    <col min="9225" max="9225" width="13.85546875" style="22" bestFit="1" customWidth="1"/>
    <col min="9226" max="9226" width="13.7109375" style="22" bestFit="1" customWidth="1"/>
    <col min="9227" max="9227" width="10.28515625" style="22" bestFit="1" customWidth="1"/>
    <col min="9228" max="9228" width="9.85546875" style="22" customWidth="1"/>
    <col min="9229" max="9230" width="15" style="22" bestFit="1" customWidth="1"/>
    <col min="9231" max="9231" width="22.28515625" style="22" customWidth="1"/>
    <col min="9232" max="9232" width="15" style="22" bestFit="1" customWidth="1"/>
    <col min="9233" max="9474" width="9.140625" style="22" customWidth="1"/>
    <col min="9475" max="9475" width="12.5703125" style="22" customWidth="1"/>
    <col min="9476" max="9476" width="5.5703125" style="22" bestFit="1" customWidth="1"/>
    <col min="9477" max="9477" width="17.5703125" style="22" bestFit="1" customWidth="1"/>
    <col min="9478" max="9478" width="12.140625" style="22" bestFit="1" customWidth="1"/>
    <col min="9479" max="9479" width="13.7109375" style="22" bestFit="1" customWidth="1"/>
    <col min="9480" max="9480" width="13" style="22" bestFit="1" customWidth="1"/>
    <col min="9481" max="9481" width="13.85546875" style="22" bestFit="1" customWidth="1"/>
    <col min="9482" max="9482" width="13.7109375" style="22" bestFit="1" customWidth="1"/>
    <col min="9483" max="9483" width="10.28515625" style="22" bestFit="1" customWidth="1"/>
    <col min="9484" max="9484" width="9.85546875" style="22" customWidth="1"/>
    <col min="9485" max="9486" width="15" style="22" bestFit="1" customWidth="1"/>
    <col min="9487" max="9487" width="22.28515625" style="22" customWidth="1"/>
    <col min="9488" max="9488" width="15" style="22" bestFit="1" customWidth="1"/>
    <col min="9489" max="9730" width="9.140625" style="22" customWidth="1"/>
    <col min="9731" max="9731" width="12.5703125" style="22" customWidth="1"/>
    <col min="9732" max="9732" width="5.5703125" style="22" bestFit="1" customWidth="1"/>
    <col min="9733" max="9733" width="17.5703125" style="22" bestFit="1" customWidth="1"/>
    <col min="9734" max="9734" width="12.140625" style="22" bestFit="1" customWidth="1"/>
    <col min="9735" max="9735" width="13.7109375" style="22" bestFit="1" customWidth="1"/>
    <col min="9736" max="9736" width="13" style="22" bestFit="1" customWidth="1"/>
    <col min="9737" max="9737" width="13.85546875" style="22" bestFit="1" customWidth="1"/>
    <col min="9738" max="9738" width="13.7109375" style="22" bestFit="1" customWidth="1"/>
    <col min="9739" max="9739" width="10.28515625" style="22" bestFit="1" customWidth="1"/>
    <col min="9740" max="9740" width="9.85546875" style="22" customWidth="1"/>
    <col min="9741" max="9742" width="15" style="22" bestFit="1" customWidth="1"/>
    <col min="9743" max="9743" width="22.28515625" style="22" customWidth="1"/>
    <col min="9744" max="9744" width="15" style="22" bestFit="1" customWidth="1"/>
    <col min="9745" max="9986" width="9.140625" style="22" customWidth="1"/>
    <col min="9987" max="9987" width="12.5703125" style="22" customWidth="1"/>
    <col min="9988" max="9988" width="5.5703125" style="22" bestFit="1" customWidth="1"/>
    <col min="9989" max="9989" width="17.5703125" style="22" bestFit="1" customWidth="1"/>
    <col min="9990" max="9990" width="12.140625" style="22" bestFit="1" customWidth="1"/>
    <col min="9991" max="9991" width="13.7109375" style="22" bestFit="1" customWidth="1"/>
    <col min="9992" max="9992" width="13" style="22" bestFit="1" customWidth="1"/>
    <col min="9993" max="9993" width="13.85546875" style="22" bestFit="1" customWidth="1"/>
    <col min="9994" max="9994" width="13.7109375" style="22" bestFit="1" customWidth="1"/>
    <col min="9995" max="9995" width="10.28515625" style="22" bestFit="1" customWidth="1"/>
    <col min="9996" max="9996" width="9.85546875" style="22" customWidth="1"/>
    <col min="9997" max="9998" width="15" style="22" bestFit="1" customWidth="1"/>
    <col min="9999" max="9999" width="22.28515625" style="22" customWidth="1"/>
    <col min="10000" max="10000" width="15" style="22" bestFit="1" customWidth="1"/>
    <col min="10001" max="10242" width="9.140625" style="22" customWidth="1"/>
    <col min="10243" max="10243" width="12.5703125" style="22" customWidth="1"/>
    <col min="10244" max="10244" width="5.5703125" style="22" bestFit="1" customWidth="1"/>
    <col min="10245" max="10245" width="17.5703125" style="22" bestFit="1" customWidth="1"/>
    <col min="10246" max="10246" width="12.140625" style="22" bestFit="1" customWidth="1"/>
    <col min="10247" max="10247" width="13.7109375" style="22" bestFit="1" customWidth="1"/>
    <col min="10248" max="10248" width="13" style="22" bestFit="1" customWidth="1"/>
    <col min="10249" max="10249" width="13.85546875" style="22" bestFit="1" customWidth="1"/>
    <col min="10250" max="10250" width="13.7109375" style="22" bestFit="1" customWidth="1"/>
    <col min="10251" max="10251" width="10.28515625" style="22" bestFit="1" customWidth="1"/>
    <col min="10252" max="10252" width="9.85546875" style="22" customWidth="1"/>
    <col min="10253" max="10254" width="15" style="22" bestFit="1" customWidth="1"/>
    <col min="10255" max="10255" width="22.28515625" style="22" customWidth="1"/>
    <col min="10256" max="10256" width="15" style="22" bestFit="1" customWidth="1"/>
    <col min="10257" max="10498" width="9.140625" style="22" customWidth="1"/>
    <col min="10499" max="10499" width="12.5703125" style="22" customWidth="1"/>
    <col min="10500" max="10500" width="5.5703125" style="22" bestFit="1" customWidth="1"/>
    <col min="10501" max="10501" width="17.5703125" style="22" bestFit="1" customWidth="1"/>
    <col min="10502" max="10502" width="12.140625" style="22" bestFit="1" customWidth="1"/>
    <col min="10503" max="10503" width="13.7109375" style="22" bestFit="1" customWidth="1"/>
    <col min="10504" max="10504" width="13" style="22" bestFit="1" customWidth="1"/>
    <col min="10505" max="10505" width="13.85546875" style="22" bestFit="1" customWidth="1"/>
    <col min="10506" max="10506" width="13.7109375" style="22" bestFit="1" customWidth="1"/>
    <col min="10507" max="10507" width="10.28515625" style="22" bestFit="1" customWidth="1"/>
    <col min="10508" max="10508" width="9.85546875" style="22" customWidth="1"/>
    <col min="10509" max="10510" width="15" style="22" bestFit="1" customWidth="1"/>
    <col min="10511" max="10511" width="22.28515625" style="22" customWidth="1"/>
    <col min="10512" max="10512" width="15" style="22" bestFit="1" customWidth="1"/>
    <col min="10513" max="10754" width="9.140625" style="22" customWidth="1"/>
    <col min="10755" max="10755" width="12.5703125" style="22" customWidth="1"/>
    <col min="10756" max="10756" width="5.5703125" style="22" bestFit="1" customWidth="1"/>
    <col min="10757" max="10757" width="17.5703125" style="22" bestFit="1" customWidth="1"/>
    <col min="10758" max="10758" width="12.140625" style="22" bestFit="1" customWidth="1"/>
    <col min="10759" max="10759" width="13.7109375" style="22" bestFit="1" customWidth="1"/>
    <col min="10760" max="10760" width="13" style="22" bestFit="1" customWidth="1"/>
    <col min="10761" max="10761" width="13.85546875" style="22" bestFit="1" customWidth="1"/>
    <col min="10762" max="10762" width="13.7109375" style="22" bestFit="1" customWidth="1"/>
    <col min="10763" max="10763" width="10.28515625" style="22" bestFit="1" customWidth="1"/>
    <col min="10764" max="10764" width="9.85546875" style="22" customWidth="1"/>
    <col min="10765" max="10766" width="15" style="22" bestFit="1" customWidth="1"/>
    <col min="10767" max="10767" width="22.28515625" style="22" customWidth="1"/>
    <col min="10768" max="10768" width="15" style="22" bestFit="1" customWidth="1"/>
    <col min="10769" max="11010" width="9.140625" style="22" customWidth="1"/>
    <col min="11011" max="11011" width="12.5703125" style="22" customWidth="1"/>
    <col min="11012" max="11012" width="5.5703125" style="22" bestFit="1" customWidth="1"/>
    <col min="11013" max="11013" width="17.5703125" style="22" bestFit="1" customWidth="1"/>
    <col min="11014" max="11014" width="12.140625" style="22" bestFit="1" customWidth="1"/>
    <col min="11015" max="11015" width="13.7109375" style="22" bestFit="1" customWidth="1"/>
    <col min="11016" max="11016" width="13" style="22" bestFit="1" customWidth="1"/>
    <col min="11017" max="11017" width="13.85546875" style="22" bestFit="1" customWidth="1"/>
    <col min="11018" max="11018" width="13.7109375" style="22" bestFit="1" customWidth="1"/>
    <col min="11019" max="11019" width="10.28515625" style="22" bestFit="1" customWidth="1"/>
    <col min="11020" max="11020" width="9.85546875" style="22" customWidth="1"/>
    <col min="11021" max="11022" width="15" style="22" bestFit="1" customWidth="1"/>
    <col min="11023" max="11023" width="22.28515625" style="22" customWidth="1"/>
    <col min="11024" max="11024" width="15" style="22" bestFit="1" customWidth="1"/>
    <col min="11025" max="11266" width="9.140625" style="22" customWidth="1"/>
    <col min="11267" max="11267" width="12.5703125" style="22" customWidth="1"/>
    <col min="11268" max="11268" width="5.5703125" style="22" bestFit="1" customWidth="1"/>
    <col min="11269" max="11269" width="17.5703125" style="22" bestFit="1" customWidth="1"/>
    <col min="11270" max="11270" width="12.140625" style="22" bestFit="1" customWidth="1"/>
    <col min="11271" max="11271" width="13.7109375" style="22" bestFit="1" customWidth="1"/>
    <col min="11272" max="11272" width="13" style="22" bestFit="1" customWidth="1"/>
    <col min="11273" max="11273" width="13.85546875" style="22" bestFit="1" customWidth="1"/>
    <col min="11274" max="11274" width="13.7109375" style="22" bestFit="1" customWidth="1"/>
    <col min="11275" max="11275" width="10.28515625" style="22" bestFit="1" customWidth="1"/>
    <col min="11276" max="11276" width="9.85546875" style="22" customWidth="1"/>
    <col min="11277" max="11278" width="15" style="22" bestFit="1" customWidth="1"/>
    <col min="11279" max="11279" width="22.28515625" style="22" customWidth="1"/>
    <col min="11280" max="11280" width="15" style="22" bestFit="1" customWidth="1"/>
    <col min="11281" max="11522" width="9.140625" style="22" customWidth="1"/>
    <col min="11523" max="11523" width="12.5703125" style="22" customWidth="1"/>
    <col min="11524" max="11524" width="5.5703125" style="22" bestFit="1" customWidth="1"/>
    <col min="11525" max="11525" width="17.5703125" style="22" bestFit="1" customWidth="1"/>
    <col min="11526" max="11526" width="12.140625" style="22" bestFit="1" customWidth="1"/>
    <col min="11527" max="11527" width="13.7109375" style="22" bestFit="1" customWidth="1"/>
    <col min="11528" max="11528" width="13" style="22" bestFit="1" customWidth="1"/>
    <col min="11529" max="11529" width="13.85546875" style="22" bestFit="1" customWidth="1"/>
    <col min="11530" max="11530" width="13.7109375" style="22" bestFit="1" customWidth="1"/>
    <col min="11531" max="11531" width="10.28515625" style="22" bestFit="1" customWidth="1"/>
    <col min="11532" max="11532" width="9.85546875" style="22" customWidth="1"/>
    <col min="11533" max="11534" width="15" style="22" bestFit="1" customWidth="1"/>
    <col min="11535" max="11535" width="22.28515625" style="22" customWidth="1"/>
    <col min="11536" max="11536" width="15" style="22" bestFit="1" customWidth="1"/>
    <col min="11537" max="11778" width="9.140625" style="22" customWidth="1"/>
    <col min="11779" max="11779" width="12.5703125" style="22" customWidth="1"/>
    <col min="11780" max="11780" width="5.5703125" style="22" bestFit="1" customWidth="1"/>
    <col min="11781" max="11781" width="17.5703125" style="22" bestFit="1" customWidth="1"/>
    <col min="11782" max="11782" width="12.140625" style="22" bestFit="1" customWidth="1"/>
    <col min="11783" max="11783" width="13.7109375" style="22" bestFit="1" customWidth="1"/>
    <col min="11784" max="11784" width="13" style="22" bestFit="1" customWidth="1"/>
    <col min="11785" max="11785" width="13.85546875" style="22" bestFit="1" customWidth="1"/>
    <col min="11786" max="11786" width="13.7109375" style="22" bestFit="1" customWidth="1"/>
    <col min="11787" max="11787" width="10.28515625" style="22" bestFit="1" customWidth="1"/>
    <col min="11788" max="11788" width="9.85546875" style="22" customWidth="1"/>
    <col min="11789" max="11790" width="15" style="22" bestFit="1" customWidth="1"/>
    <col min="11791" max="11791" width="22.28515625" style="22" customWidth="1"/>
    <col min="11792" max="11792" width="15" style="22" bestFit="1" customWidth="1"/>
    <col min="11793" max="12034" width="9.140625" style="22" customWidth="1"/>
    <col min="12035" max="12035" width="12.5703125" style="22" customWidth="1"/>
    <col min="12036" max="12036" width="5.5703125" style="22" bestFit="1" customWidth="1"/>
    <col min="12037" max="12037" width="17.5703125" style="22" bestFit="1" customWidth="1"/>
    <col min="12038" max="12038" width="12.140625" style="22" bestFit="1" customWidth="1"/>
    <col min="12039" max="12039" width="13.7109375" style="22" bestFit="1" customWidth="1"/>
    <col min="12040" max="12040" width="13" style="22" bestFit="1" customWidth="1"/>
    <col min="12041" max="12041" width="13.85546875" style="22" bestFit="1" customWidth="1"/>
    <col min="12042" max="12042" width="13.7109375" style="22" bestFit="1" customWidth="1"/>
    <col min="12043" max="12043" width="10.28515625" style="22" bestFit="1" customWidth="1"/>
    <col min="12044" max="12044" width="9.85546875" style="22" customWidth="1"/>
    <col min="12045" max="12046" width="15" style="22" bestFit="1" customWidth="1"/>
    <col min="12047" max="12047" width="22.28515625" style="22" customWidth="1"/>
    <col min="12048" max="12048" width="15" style="22" bestFit="1" customWidth="1"/>
    <col min="12049" max="12290" width="9.140625" style="22" customWidth="1"/>
    <col min="12291" max="12291" width="12.5703125" style="22" customWidth="1"/>
    <col min="12292" max="12292" width="5.5703125" style="22" bestFit="1" customWidth="1"/>
    <col min="12293" max="12293" width="17.5703125" style="22" bestFit="1" customWidth="1"/>
    <col min="12294" max="12294" width="12.140625" style="22" bestFit="1" customWidth="1"/>
    <col min="12295" max="12295" width="13.7109375" style="22" bestFit="1" customWidth="1"/>
    <col min="12296" max="12296" width="13" style="22" bestFit="1" customWidth="1"/>
    <col min="12297" max="12297" width="13.85546875" style="22" bestFit="1" customWidth="1"/>
    <col min="12298" max="12298" width="13.7109375" style="22" bestFit="1" customWidth="1"/>
    <col min="12299" max="12299" width="10.28515625" style="22" bestFit="1" customWidth="1"/>
    <col min="12300" max="12300" width="9.85546875" style="22" customWidth="1"/>
    <col min="12301" max="12302" width="15" style="22" bestFit="1" customWidth="1"/>
    <col min="12303" max="12303" width="22.28515625" style="22" customWidth="1"/>
    <col min="12304" max="12304" width="15" style="22" bestFit="1" customWidth="1"/>
    <col min="12305" max="12546" width="9.140625" style="22" customWidth="1"/>
    <col min="12547" max="12547" width="12.5703125" style="22" customWidth="1"/>
    <col min="12548" max="12548" width="5.5703125" style="22" bestFit="1" customWidth="1"/>
    <col min="12549" max="12549" width="17.5703125" style="22" bestFit="1" customWidth="1"/>
    <col min="12550" max="12550" width="12.140625" style="22" bestFit="1" customWidth="1"/>
    <col min="12551" max="12551" width="13.7109375" style="22" bestFit="1" customWidth="1"/>
    <col min="12552" max="12552" width="13" style="22" bestFit="1" customWidth="1"/>
    <col min="12553" max="12553" width="13.85546875" style="22" bestFit="1" customWidth="1"/>
    <col min="12554" max="12554" width="13.7109375" style="22" bestFit="1" customWidth="1"/>
    <col min="12555" max="12555" width="10.28515625" style="22" bestFit="1" customWidth="1"/>
    <col min="12556" max="12556" width="9.85546875" style="22" customWidth="1"/>
    <col min="12557" max="12558" width="15" style="22" bestFit="1" customWidth="1"/>
    <col min="12559" max="12559" width="22.28515625" style="22" customWidth="1"/>
    <col min="12560" max="12560" width="15" style="22" bestFit="1" customWidth="1"/>
    <col min="12561" max="12802" width="9.140625" style="22" customWidth="1"/>
    <col min="12803" max="12803" width="12.5703125" style="22" customWidth="1"/>
    <col min="12804" max="12804" width="5.5703125" style="22" bestFit="1" customWidth="1"/>
    <col min="12805" max="12805" width="17.5703125" style="22" bestFit="1" customWidth="1"/>
    <col min="12806" max="12806" width="12.140625" style="22" bestFit="1" customWidth="1"/>
    <col min="12807" max="12807" width="13.7109375" style="22" bestFit="1" customWidth="1"/>
    <col min="12808" max="12808" width="13" style="22" bestFit="1" customWidth="1"/>
    <col min="12809" max="12809" width="13.85546875" style="22" bestFit="1" customWidth="1"/>
    <col min="12810" max="12810" width="13.7109375" style="22" bestFit="1" customWidth="1"/>
    <col min="12811" max="12811" width="10.28515625" style="22" bestFit="1" customWidth="1"/>
    <col min="12812" max="12812" width="9.85546875" style="22" customWidth="1"/>
    <col min="12813" max="12814" width="15" style="22" bestFit="1" customWidth="1"/>
    <col min="12815" max="12815" width="22.28515625" style="22" customWidth="1"/>
    <col min="12816" max="12816" width="15" style="22" bestFit="1" customWidth="1"/>
    <col min="12817" max="13058" width="9.140625" style="22" customWidth="1"/>
    <col min="13059" max="13059" width="12.5703125" style="22" customWidth="1"/>
    <col min="13060" max="13060" width="5.5703125" style="22" bestFit="1" customWidth="1"/>
    <col min="13061" max="13061" width="17.5703125" style="22" bestFit="1" customWidth="1"/>
    <col min="13062" max="13062" width="12.140625" style="22" bestFit="1" customWidth="1"/>
    <col min="13063" max="13063" width="13.7109375" style="22" bestFit="1" customWidth="1"/>
    <col min="13064" max="13064" width="13" style="22" bestFit="1" customWidth="1"/>
    <col min="13065" max="13065" width="13.85546875" style="22" bestFit="1" customWidth="1"/>
    <col min="13066" max="13066" width="13.7109375" style="22" bestFit="1" customWidth="1"/>
    <col min="13067" max="13067" width="10.28515625" style="22" bestFit="1" customWidth="1"/>
    <col min="13068" max="13068" width="9.85546875" style="22" customWidth="1"/>
    <col min="13069" max="13070" width="15" style="22" bestFit="1" customWidth="1"/>
    <col min="13071" max="13071" width="22.28515625" style="22" customWidth="1"/>
    <col min="13072" max="13072" width="15" style="22" bestFit="1" customWidth="1"/>
    <col min="13073" max="13314" width="9.140625" style="22" customWidth="1"/>
    <col min="13315" max="13315" width="12.5703125" style="22" customWidth="1"/>
    <col min="13316" max="13316" width="5.5703125" style="22" bestFit="1" customWidth="1"/>
    <col min="13317" max="13317" width="17.5703125" style="22" bestFit="1" customWidth="1"/>
    <col min="13318" max="13318" width="12.140625" style="22" bestFit="1" customWidth="1"/>
    <col min="13319" max="13319" width="13.7109375" style="22" bestFit="1" customWidth="1"/>
    <col min="13320" max="13320" width="13" style="22" bestFit="1" customWidth="1"/>
    <col min="13321" max="13321" width="13.85546875" style="22" bestFit="1" customWidth="1"/>
    <col min="13322" max="13322" width="13.7109375" style="22" bestFit="1" customWidth="1"/>
    <col min="13323" max="13323" width="10.28515625" style="22" bestFit="1" customWidth="1"/>
    <col min="13324" max="13324" width="9.85546875" style="22" customWidth="1"/>
    <col min="13325" max="13326" width="15" style="22" bestFit="1" customWidth="1"/>
    <col min="13327" max="13327" width="22.28515625" style="22" customWidth="1"/>
    <col min="13328" max="13328" width="15" style="22" bestFit="1" customWidth="1"/>
    <col min="13329" max="13570" width="9.140625" style="22" customWidth="1"/>
    <col min="13571" max="13571" width="12.5703125" style="22" customWidth="1"/>
    <col min="13572" max="13572" width="5.5703125" style="22" bestFit="1" customWidth="1"/>
    <col min="13573" max="13573" width="17.5703125" style="22" bestFit="1" customWidth="1"/>
    <col min="13574" max="13574" width="12.140625" style="22" bestFit="1" customWidth="1"/>
    <col min="13575" max="13575" width="13.7109375" style="22" bestFit="1" customWidth="1"/>
    <col min="13576" max="13576" width="13" style="22" bestFit="1" customWidth="1"/>
    <col min="13577" max="13577" width="13.85546875" style="22" bestFit="1" customWidth="1"/>
    <col min="13578" max="13578" width="13.7109375" style="22" bestFit="1" customWidth="1"/>
    <col min="13579" max="13579" width="10.28515625" style="22" bestFit="1" customWidth="1"/>
    <col min="13580" max="13580" width="9.85546875" style="22" customWidth="1"/>
    <col min="13581" max="13582" width="15" style="22" bestFit="1" customWidth="1"/>
    <col min="13583" max="13583" width="22.28515625" style="22" customWidth="1"/>
    <col min="13584" max="13584" width="15" style="22" bestFit="1" customWidth="1"/>
    <col min="13585" max="13826" width="9.140625" style="22" customWidth="1"/>
    <col min="13827" max="13827" width="12.5703125" style="22" customWidth="1"/>
    <col min="13828" max="13828" width="5.5703125" style="22" bestFit="1" customWidth="1"/>
    <col min="13829" max="13829" width="17.5703125" style="22" bestFit="1" customWidth="1"/>
    <col min="13830" max="13830" width="12.140625" style="22" bestFit="1" customWidth="1"/>
    <col min="13831" max="13831" width="13.7109375" style="22" bestFit="1" customWidth="1"/>
    <col min="13832" max="13832" width="13" style="22" bestFit="1" customWidth="1"/>
    <col min="13833" max="13833" width="13.85546875" style="22" bestFit="1" customWidth="1"/>
    <col min="13834" max="13834" width="13.7109375" style="22" bestFit="1" customWidth="1"/>
    <col min="13835" max="13835" width="10.28515625" style="22" bestFit="1" customWidth="1"/>
    <col min="13836" max="13836" width="9.85546875" style="22" customWidth="1"/>
    <col min="13837" max="13838" width="15" style="22" bestFit="1" customWidth="1"/>
    <col min="13839" max="13839" width="22.28515625" style="22" customWidth="1"/>
    <col min="13840" max="13840" width="15" style="22" bestFit="1" customWidth="1"/>
    <col min="13841" max="14082" width="9.140625" style="22" customWidth="1"/>
    <col min="14083" max="14083" width="12.5703125" style="22" customWidth="1"/>
    <col min="14084" max="14084" width="5.5703125" style="22" bestFit="1" customWidth="1"/>
    <col min="14085" max="14085" width="17.5703125" style="22" bestFit="1" customWidth="1"/>
    <col min="14086" max="14086" width="12.140625" style="22" bestFit="1" customWidth="1"/>
    <col min="14087" max="14087" width="13.7109375" style="22" bestFit="1" customWidth="1"/>
    <col min="14088" max="14088" width="13" style="22" bestFit="1" customWidth="1"/>
    <col min="14089" max="14089" width="13.85546875" style="22" bestFit="1" customWidth="1"/>
    <col min="14090" max="14090" width="13.7109375" style="22" bestFit="1" customWidth="1"/>
    <col min="14091" max="14091" width="10.28515625" style="22" bestFit="1" customWidth="1"/>
    <col min="14092" max="14092" width="9.85546875" style="22" customWidth="1"/>
    <col min="14093" max="14094" width="15" style="22" bestFit="1" customWidth="1"/>
    <col min="14095" max="14095" width="22.28515625" style="22" customWidth="1"/>
    <col min="14096" max="14096" width="15" style="22" bestFit="1" customWidth="1"/>
    <col min="14097" max="14338" width="9.140625" style="22" customWidth="1"/>
    <col min="14339" max="14339" width="12.5703125" style="22" customWidth="1"/>
    <col min="14340" max="14340" width="5.5703125" style="22" bestFit="1" customWidth="1"/>
    <col min="14341" max="14341" width="17.5703125" style="22" bestFit="1" customWidth="1"/>
    <col min="14342" max="14342" width="12.140625" style="22" bestFit="1" customWidth="1"/>
    <col min="14343" max="14343" width="13.7109375" style="22" bestFit="1" customWidth="1"/>
    <col min="14344" max="14344" width="13" style="22" bestFit="1" customWidth="1"/>
    <col min="14345" max="14345" width="13.85546875" style="22" bestFit="1" customWidth="1"/>
    <col min="14346" max="14346" width="13.7109375" style="22" bestFit="1" customWidth="1"/>
    <col min="14347" max="14347" width="10.28515625" style="22" bestFit="1" customWidth="1"/>
    <col min="14348" max="14348" width="9.85546875" style="22" customWidth="1"/>
    <col min="14349" max="14350" width="15" style="22" bestFit="1" customWidth="1"/>
    <col min="14351" max="14351" width="22.28515625" style="22" customWidth="1"/>
    <col min="14352" max="14352" width="15" style="22" bestFit="1" customWidth="1"/>
    <col min="14353" max="14594" width="9.140625" style="22" customWidth="1"/>
    <col min="14595" max="14595" width="12.5703125" style="22" customWidth="1"/>
    <col min="14596" max="14596" width="5.5703125" style="22" bestFit="1" customWidth="1"/>
    <col min="14597" max="14597" width="17.5703125" style="22" bestFit="1" customWidth="1"/>
    <col min="14598" max="14598" width="12.140625" style="22" bestFit="1" customWidth="1"/>
    <col min="14599" max="14599" width="13.7109375" style="22" bestFit="1" customWidth="1"/>
    <col min="14600" max="14600" width="13" style="22" bestFit="1" customWidth="1"/>
    <col min="14601" max="14601" width="13.85546875" style="22" bestFit="1" customWidth="1"/>
    <col min="14602" max="14602" width="13.7109375" style="22" bestFit="1" customWidth="1"/>
    <col min="14603" max="14603" width="10.28515625" style="22" bestFit="1" customWidth="1"/>
    <col min="14604" max="14604" width="9.85546875" style="22" customWidth="1"/>
    <col min="14605" max="14606" width="15" style="22" bestFit="1" customWidth="1"/>
    <col min="14607" max="14607" width="22.28515625" style="22" customWidth="1"/>
    <col min="14608" max="14608" width="15" style="22" bestFit="1" customWidth="1"/>
    <col min="14609" max="14850" width="9.140625" style="22" customWidth="1"/>
    <col min="14851" max="14851" width="12.5703125" style="22" customWidth="1"/>
    <col min="14852" max="14852" width="5.5703125" style="22" bestFit="1" customWidth="1"/>
    <col min="14853" max="14853" width="17.5703125" style="22" bestFit="1" customWidth="1"/>
    <col min="14854" max="14854" width="12.140625" style="22" bestFit="1" customWidth="1"/>
    <col min="14855" max="14855" width="13.7109375" style="22" bestFit="1" customWidth="1"/>
    <col min="14856" max="14856" width="13" style="22" bestFit="1" customWidth="1"/>
    <col min="14857" max="14857" width="13.85546875" style="22" bestFit="1" customWidth="1"/>
    <col min="14858" max="14858" width="13.7109375" style="22" bestFit="1" customWidth="1"/>
    <col min="14859" max="14859" width="10.28515625" style="22" bestFit="1" customWidth="1"/>
    <col min="14860" max="14860" width="9.85546875" style="22" customWidth="1"/>
    <col min="14861" max="14862" width="15" style="22" bestFit="1" customWidth="1"/>
    <col min="14863" max="14863" width="22.28515625" style="22" customWidth="1"/>
    <col min="14864" max="14864" width="15" style="22" bestFit="1" customWidth="1"/>
    <col min="14865" max="15106" width="9.140625" style="22" customWidth="1"/>
    <col min="15107" max="15107" width="12.5703125" style="22" customWidth="1"/>
    <col min="15108" max="15108" width="5.5703125" style="22" bestFit="1" customWidth="1"/>
    <col min="15109" max="15109" width="17.5703125" style="22" bestFit="1" customWidth="1"/>
    <col min="15110" max="15110" width="12.140625" style="22" bestFit="1" customWidth="1"/>
    <col min="15111" max="15111" width="13.7109375" style="22" bestFit="1" customWidth="1"/>
    <col min="15112" max="15112" width="13" style="22" bestFit="1" customWidth="1"/>
    <col min="15113" max="15113" width="13.85546875" style="22" bestFit="1" customWidth="1"/>
    <col min="15114" max="15114" width="13.7109375" style="22" bestFit="1" customWidth="1"/>
    <col min="15115" max="15115" width="10.28515625" style="22" bestFit="1" customWidth="1"/>
    <col min="15116" max="15116" width="9.85546875" style="22" customWidth="1"/>
    <col min="15117" max="15118" width="15" style="22" bestFit="1" customWidth="1"/>
    <col min="15119" max="15119" width="22.28515625" style="22" customWidth="1"/>
    <col min="15120" max="15120" width="15" style="22" bestFit="1" customWidth="1"/>
    <col min="15121" max="15362" width="9.140625" style="22" customWidth="1"/>
    <col min="15363" max="15363" width="12.5703125" style="22" customWidth="1"/>
    <col min="15364" max="15364" width="5.5703125" style="22" bestFit="1" customWidth="1"/>
    <col min="15365" max="15365" width="17.5703125" style="22" bestFit="1" customWidth="1"/>
    <col min="15366" max="15366" width="12.140625" style="22" bestFit="1" customWidth="1"/>
    <col min="15367" max="15367" width="13.7109375" style="22" bestFit="1" customWidth="1"/>
    <col min="15368" max="15368" width="13" style="22" bestFit="1" customWidth="1"/>
    <col min="15369" max="15369" width="13.85546875" style="22" bestFit="1" customWidth="1"/>
    <col min="15370" max="15370" width="13.7109375" style="22" bestFit="1" customWidth="1"/>
    <col min="15371" max="15371" width="10.28515625" style="22" bestFit="1" customWidth="1"/>
    <col min="15372" max="15372" width="9.85546875" style="22" customWidth="1"/>
    <col min="15373" max="15374" width="15" style="22" bestFit="1" customWidth="1"/>
    <col min="15375" max="15375" width="22.28515625" style="22" customWidth="1"/>
    <col min="15376" max="15376" width="15" style="22" bestFit="1" customWidth="1"/>
    <col min="15377" max="15618" width="9.140625" style="22" customWidth="1"/>
    <col min="15619" max="15619" width="12.5703125" style="22" customWidth="1"/>
    <col min="15620" max="15620" width="5.5703125" style="22" bestFit="1" customWidth="1"/>
    <col min="15621" max="15621" width="17.5703125" style="22" bestFit="1" customWidth="1"/>
    <col min="15622" max="15622" width="12.140625" style="22" bestFit="1" customWidth="1"/>
    <col min="15623" max="15623" width="13.7109375" style="22" bestFit="1" customWidth="1"/>
    <col min="15624" max="15624" width="13" style="22" bestFit="1" customWidth="1"/>
    <col min="15625" max="15625" width="13.85546875" style="22" bestFit="1" customWidth="1"/>
    <col min="15626" max="15626" width="13.7109375" style="22" bestFit="1" customWidth="1"/>
    <col min="15627" max="15627" width="10.28515625" style="22" bestFit="1" customWidth="1"/>
    <col min="15628" max="15628" width="9.85546875" style="22" customWidth="1"/>
    <col min="15629" max="15630" width="15" style="22" bestFit="1" customWidth="1"/>
    <col min="15631" max="15631" width="22.28515625" style="22" customWidth="1"/>
    <col min="15632" max="15632" width="15" style="22" bestFit="1" customWidth="1"/>
    <col min="15633" max="15874" width="9.140625" style="22" customWidth="1"/>
    <col min="15875" max="15875" width="12.5703125" style="22" customWidth="1"/>
    <col min="15876" max="15876" width="5.5703125" style="22" bestFit="1" customWidth="1"/>
    <col min="15877" max="15877" width="17.5703125" style="22" bestFit="1" customWidth="1"/>
    <col min="15878" max="15878" width="12.140625" style="22" bestFit="1" customWidth="1"/>
    <col min="15879" max="15879" width="13.7109375" style="22" bestFit="1" customWidth="1"/>
    <col min="15880" max="15880" width="13" style="22" bestFit="1" customWidth="1"/>
    <col min="15881" max="15881" width="13.85546875" style="22" bestFit="1" customWidth="1"/>
    <col min="15882" max="15882" width="13.7109375" style="22" bestFit="1" customWidth="1"/>
    <col min="15883" max="15883" width="10.28515625" style="22" bestFit="1" customWidth="1"/>
    <col min="15884" max="15884" width="9.85546875" style="22" customWidth="1"/>
    <col min="15885" max="15886" width="15" style="22" bestFit="1" customWidth="1"/>
    <col min="15887" max="15887" width="22.28515625" style="22" customWidth="1"/>
    <col min="15888" max="15888" width="15" style="22" bestFit="1" customWidth="1"/>
    <col min="15889" max="16130" width="9.140625" style="22" customWidth="1"/>
    <col min="16131" max="16131" width="12.5703125" style="22" customWidth="1"/>
    <col min="16132" max="16132" width="5.5703125" style="22" bestFit="1" customWidth="1"/>
    <col min="16133" max="16133" width="17.5703125" style="22" bestFit="1" customWidth="1"/>
    <col min="16134" max="16134" width="12.140625" style="22" bestFit="1" customWidth="1"/>
    <col min="16135" max="16135" width="13.7109375" style="22" bestFit="1" customWidth="1"/>
    <col min="16136" max="16136" width="13" style="22" bestFit="1" customWidth="1"/>
    <col min="16137" max="16137" width="13.85546875" style="22" bestFit="1" customWidth="1"/>
    <col min="16138" max="16138" width="13.7109375" style="22" bestFit="1" customWidth="1"/>
    <col min="16139" max="16139" width="10.28515625" style="22" bestFit="1" customWidth="1"/>
    <col min="16140" max="16140" width="9.85546875" style="22" customWidth="1"/>
    <col min="16141" max="16142" width="15" style="22" bestFit="1" customWidth="1"/>
    <col min="16143" max="16143" width="22.28515625" style="22" customWidth="1"/>
    <col min="16144" max="16144" width="15" style="22" bestFit="1" customWidth="1"/>
    <col min="16145" max="16384" width="9.140625" style="22" customWidth="1"/>
  </cols>
  <sheetData>
    <row r="1" spans="1:24" ht="16.5" thickBot="1" x14ac:dyDescent="0.3">
      <c r="A1" s="26"/>
      <c r="B1" s="26"/>
      <c r="C1" s="26"/>
      <c r="D1" s="26"/>
      <c r="E1" s="26"/>
      <c r="F1" s="26"/>
      <c r="G1" s="26" t="s">
        <v>47</v>
      </c>
      <c r="H1" s="68" t="s">
        <v>48</v>
      </c>
      <c r="I1" s="26"/>
    </row>
    <row r="2" spans="1:24" ht="16.5" thickBot="1" x14ac:dyDescent="0.3">
      <c r="A2" s="67"/>
      <c r="B2" s="66" t="s">
        <v>0</v>
      </c>
      <c r="C2" s="66" t="s">
        <v>49</v>
      </c>
      <c r="D2" s="66" t="s">
        <v>50</v>
      </c>
      <c r="E2" s="66" t="s">
        <v>51</v>
      </c>
      <c r="F2" s="66" t="s">
        <v>52</v>
      </c>
      <c r="G2" s="66" t="s">
        <v>53</v>
      </c>
      <c r="H2" s="66" t="s">
        <v>54</v>
      </c>
      <c r="I2" s="66" t="s">
        <v>57</v>
      </c>
      <c r="J2" s="66" t="s">
        <v>135</v>
      </c>
      <c r="K2" s="66" t="s">
        <v>136</v>
      </c>
      <c r="L2" s="66" t="s">
        <v>137</v>
      </c>
      <c r="M2" s="66" t="s">
        <v>138</v>
      </c>
      <c r="N2" s="26" t="s">
        <v>28</v>
      </c>
      <c r="O2" s="44" t="s">
        <v>110</v>
      </c>
      <c r="P2" s="45">
        <v>9.7910208333333326</v>
      </c>
      <c r="Q2" s="44" t="s">
        <v>111</v>
      </c>
      <c r="R2" s="45">
        <v>0.21083578431372554</v>
      </c>
    </row>
    <row r="3" spans="1:24" x14ac:dyDescent="0.25">
      <c r="A3" s="34" t="s">
        <v>58</v>
      </c>
      <c r="B3" s="35">
        <v>1</v>
      </c>
      <c r="C3" s="35">
        <v>14</v>
      </c>
      <c r="D3" s="39"/>
      <c r="E3" s="39"/>
      <c r="F3" s="39"/>
      <c r="G3" s="39">
        <f>$S$9</f>
        <v>3.4898958333333341</v>
      </c>
      <c r="H3" s="39">
        <f>C3-G3</f>
        <v>10.510104166666666</v>
      </c>
      <c r="I3" s="38">
        <f>($P$2+$R$2*B3)+G3</f>
        <v>13.491752450980393</v>
      </c>
      <c r="J3" s="38">
        <f>C3-I3</f>
        <v>0.50824754901960745</v>
      </c>
      <c r="K3" s="38">
        <f>ABS(J3)</f>
        <v>0.50824754901960745</v>
      </c>
      <c r="L3" s="38">
        <f>J3^2</f>
        <v>0.25831557108443826</v>
      </c>
      <c r="M3" s="38">
        <f>K3/ABS(C3)</f>
        <v>3.6303396358543391E-2</v>
      </c>
      <c r="N3" s="27"/>
    </row>
    <row r="4" spans="1:24" x14ac:dyDescent="0.25">
      <c r="A4" s="34" t="s">
        <v>59</v>
      </c>
      <c r="B4" s="35">
        <v>2</v>
      </c>
      <c r="C4" s="35">
        <v>9.74</v>
      </c>
      <c r="D4" s="39"/>
      <c r="E4" s="39"/>
      <c r="F4" s="39"/>
      <c r="G4" s="39">
        <f>$S$10</f>
        <v>-0.22802083333333392</v>
      </c>
      <c r="H4" s="39">
        <f t="shared" ref="H4:H18" si="0">C4-G4</f>
        <v>9.968020833333334</v>
      </c>
      <c r="I4" s="38">
        <f>($P$2+$R$2*B4)+G4</f>
        <v>9.9846715686274496</v>
      </c>
      <c r="J4" s="38">
        <f t="shared" ref="J4:J23" si="1">C4-I4</f>
        <v>-0.24467156862744943</v>
      </c>
      <c r="K4" s="38">
        <f t="shared" ref="K4:K23" si="2">ABS(J4)</f>
        <v>0.24467156862744943</v>
      </c>
      <c r="L4" s="38">
        <f t="shared" ref="L4:L18" si="3">J4^2</f>
        <v>5.98641764946167E-2</v>
      </c>
      <c r="M4" s="38">
        <f t="shared" ref="M4:M23" si="4">K4/ABS(C4)</f>
        <v>2.5120284253331564E-2</v>
      </c>
      <c r="N4" s="27"/>
    </row>
    <row r="5" spans="1:24" x14ac:dyDescent="0.25">
      <c r="A5" s="34" t="s">
        <v>60</v>
      </c>
      <c r="B5" s="35">
        <v>3</v>
      </c>
      <c r="C5" s="35">
        <v>8.09</v>
      </c>
      <c r="D5" s="39">
        <f>AVERAGE(C3:C6)</f>
        <v>10.377500000000001</v>
      </c>
      <c r="E5" s="39">
        <f>AVERAGE(D5:D6)</f>
        <v>10.416250000000002</v>
      </c>
      <c r="F5" s="39">
        <f>C5-E5</f>
        <v>-2.3262500000000017</v>
      </c>
      <c r="G5" s="39">
        <f>$S$11</f>
        <v>-2.2588541666666666</v>
      </c>
      <c r="H5" s="39">
        <f t="shared" si="0"/>
        <v>10.348854166666666</v>
      </c>
      <c r="I5" s="38">
        <f t="shared" ref="I5:I18" si="5">($P$2+$R$2*B5)+G5</f>
        <v>8.164674019607844</v>
      </c>
      <c r="J5" s="38">
        <f t="shared" si="1"/>
        <v>-7.4674019607844144E-2</v>
      </c>
      <c r="K5" s="38">
        <f t="shared" si="2"/>
        <v>7.4674019607844144E-2</v>
      </c>
      <c r="L5" s="38">
        <f t="shared" si="3"/>
        <v>5.5762092043926915E-3</v>
      </c>
      <c r="M5" s="38">
        <f t="shared" si="4"/>
        <v>9.2304103347149741E-3</v>
      </c>
      <c r="N5" s="27"/>
      <c r="O5" s="29" t="s">
        <v>132</v>
      </c>
      <c r="P5" s="23"/>
      <c r="Q5" s="23"/>
      <c r="R5" s="23"/>
      <c r="S5" s="23"/>
      <c r="T5" s="23"/>
    </row>
    <row r="6" spans="1:24" x14ac:dyDescent="0.25">
      <c r="A6" s="34" t="s">
        <v>61</v>
      </c>
      <c r="B6" s="35">
        <v>4</v>
      </c>
      <c r="C6" s="35">
        <v>9.68</v>
      </c>
      <c r="D6" s="39">
        <f t="shared" ref="D6:D17" si="6">AVERAGE(C4:C7)</f>
        <v>10.455</v>
      </c>
      <c r="E6" s="39">
        <f t="shared" ref="E6:E16" si="7">AVERAGE(D6:D7)</f>
        <v>10.59</v>
      </c>
      <c r="F6" s="39">
        <f t="shared" ref="F6:F16" si="8">C6-E6</f>
        <v>-0.91000000000000014</v>
      </c>
      <c r="G6" s="39">
        <f>$S$12</f>
        <v>-1.0030208333333337</v>
      </c>
      <c r="H6" s="39">
        <f t="shared" si="0"/>
        <v>10.683020833333334</v>
      </c>
      <c r="I6" s="38">
        <f t="shared" si="5"/>
        <v>9.6313431372549001</v>
      </c>
      <c r="J6" s="38">
        <f t="shared" si="1"/>
        <v>4.8656862745099616E-2</v>
      </c>
      <c r="K6" s="38">
        <f t="shared" si="2"/>
        <v>4.8656862745099616E-2</v>
      </c>
      <c r="L6" s="38">
        <f t="shared" si="3"/>
        <v>2.367490292195463E-3</v>
      </c>
      <c r="M6" s="38">
        <f t="shared" si="4"/>
        <v>5.0265354075516135E-3</v>
      </c>
      <c r="N6" s="27"/>
      <c r="O6" s="24"/>
      <c r="P6" s="24"/>
      <c r="Q6" s="24"/>
      <c r="R6" s="24"/>
      <c r="S6" s="24"/>
      <c r="T6" s="24"/>
      <c r="U6" s="24"/>
      <c r="V6" s="24"/>
      <c r="W6" s="24"/>
      <c r="X6" s="24"/>
    </row>
    <row r="7" spans="1:24" x14ac:dyDescent="0.25">
      <c r="A7" s="34" t="s">
        <v>62</v>
      </c>
      <c r="B7" s="35">
        <v>5</v>
      </c>
      <c r="C7" s="35">
        <v>14.31</v>
      </c>
      <c r="D7" s="39">
        <f t="shared" si="6"/>
        <v>10.725</v>
      </c>
      <c r="E7" s="39">
        <f t="shared" si="7"/>
        <v>10.8325</v>
      </c>
      <c r="F7" s="39">
        <f t="shared" si="8"/>
        <v>3.4775000000000009</v>
      </c>
      <c r="G7" s="39">
        <f>$S$9</f>
        <v>3.4898958333333341</v>
      </c>
      <c r="H7" s="39">
        <f t="shared" si="0"/>
        <v>10.820104166666667</v>
      </c>
      <c r="I7" s="38">
        <f t="shared" si="5"/>
        <v>14.335095588235294</v>
      </c>
      <c r="J7" s="38">
        <f t="shared" si="1"/>
        <v>-2.5095588235293675E-2</v>
      </c>
      <c r="K7" s="38">
        <f t="shared" si="2"/>
        <v>2.5095588235293675E-2</v>
      </c>
      <c r="L7" s="38">
        <f t="shared" si="3"/>
        <v>6.2978854887541034E-4</v>
      </c>
      <c r="M7" s="38">
        <f t="shared" si="4"/>
        <v>1.7537098696920807E-3</v>
      </c>
      <c r="N7" s="27"/>
      <c r="O7" s="64" t="s">
        <v>131</v>
      </c>
      <c r="P7" s="24"/>
      <c r="Q7" s="24"/>
      <c r="R7" s="24"/>
      <c r="S7" s="24"/>
      <c r="T7" s="24"/>
      <c r="U7" s="24"/>
      <c r="V7" s="24"/>
      <c r="W7" s="24"/>
      <c r="X7" s="24"/>
    </row>
    <row r="8" spans="1:24" x14ac:dyDescent="0.25">
      <c r="A8" s="34" t="s">
        <v>63</v>
      </c>
      <c r="B8" s="35">
        <v>6</v>
      </c>
      <c r="C8" s="35">
        <v>10.82</v>
      </c>
      <c r="D8" s="39">
        <f t="shared" si="6"/>
        <v>10.940000000000001</v>
      </c>
      <c r="E8" s="39">
        <f t="shared" si="7"/>
        <v>10.998750000000001</v>
      </c>
      <c r="F8" s="39">
        <f t="shared" si="8"/>
        <v>-0.17875000000000085</v>
      </c>
      <c r="G8" s="39">
        <f>$S$10</f>
        <v>-0.22802083333333392</v>
      </c>
      <c r="H8" s="39">
        <f t="shared" si="0"/>
        <v>11.048020833333334</v>
      </c>
      <c r="I8" s="38">
        <f t="shared" si="5"/>
        <v>10.828014705882351</v>
      </c>
      <c r="J8" s="38">
        <f t="shared" si="1"/>
        <v>-8.0147058823509809E-3</v>
      </c>
      <c r="K8" s="38">
        <f t="shared" si="2"/>
        <v>8.0147058823509809E-3</v>
      </c>
      <c r="L8" s="38">
        <f t="shared" si="3"/>
        <v>6.4235510380591411E-5</v>
      </c>
      <c r="M8" s="38">
        <f t="shared" si="4"/>
        <v>7.4073067304537713E-4</v>
      </c>
      <c r="N8" s="27"/>
      <c r="O8" s="54"/>
      <c r="P8" s="55"/>
      <c r="Q8" s="55" t="s">
        <v>78</v>
      </c>
      <c r="R8" s="55" t="s">
        <v>79</v>
      </c>
      <c r="S8" s="56" t="s">
        <v>53</v>
      </c>
      <c r="T8" s="24"/>
      <c r="U8" s="24"/>
      <c r="V8" s="24"/>
      <c r="W8" s="24"/>
      <c r="X8" s="24"/>
    </row>
    <row r="9" spans="1:24" x14ac:dyDescent="0.25">
      <c r="A9" s="34" t="s">
        <v>64</v>
      </c>
      <c r="B9" s="35">
        <v>7</v>
      </c>
      <c r="C9" s="35">
        <v>8.9499999999999993</v>
      </c>
      <c r="D9" s="39">
        <f t="shared" si="6"/>
        <v>11.057499999999999</v>
      </c>
      <c r="E9" s="39">
        <f t="shared" si="7"/>
        <v>11.17625</v>
      </c>
      <c r="F9" s="39">
        <f t="shared" si="8"/>
        <v>-2.2262500000000003</v>
      </c>
      <c r="G9" s="39">
        <f>$S$11</f>
        <v>-2.2588541666666666</v>
      </c>
      <c r="H9" s="39">
        <f t="shared" si="0"/>
        <v>11.208854166666665</v>
      </c>
      <c r="I9" s="38">
        <f t="shared" si="5"/>
        <v>9.0080171568627456</v>
      </c>
      <c r="J9" s="38">
        <f t="shared" si="1"/>
        <v>-5.8017156862746333E-2</v>
      </c>
      <c r="K9" s="38">
        <f t="shared" si="2"/>
        <v>5.8017156862746333E-2</v>
      </c>
      <c r="L9" s="38">
        <f t="shared" si="3"/>
        <v>3.365990490436514E-3</v>
      </c>
      <c r="M9" s="38">
        <f t="shared" si="4"/>
        <v>6.4823638952789201E-3</v>
      </c>
      <c r="N9" s="27"/>
      <c r="O9" s="57" t="s">
        <v>80</v>
      </c>
      <c r="P9" s="33"/>
      <c r="Q9" s="58">
        <f>AVERAGE(F7,F11,F15)</f>
        <v>3.4791666666666674</v>
      </c>
      <c r="R9" s="33"/>
      <c r="S9" s="59">
        <f>Q9-R$13</f>
        <v>3.4898958333333341</v>
      </c>
      <c r="T9" s="24"/>
      <c r="U9" s="24"/>
      <c r="V9" s="24"/>
      <c r="W9" s="24"/>
      <c r="X9" s="24"/>
    </row>
    <row r="10" spans="1:24" x14ac:dyDescent="0.25">
      <c r="A10" s="34" t="s">
        <v>65</v>
      </c>
      <c r="B10" s="35">
        <v>8</v>
      </c>
      <c r="C10" s="35">
        <v>10.15</v>
      </c>
      <c r="D10" s="39">
        <f t="shared" si="6"/>
        <v>11.295</v>
      </c>
      <c r="E10" s="39">
        <f t="shared" si="7"/>
        <v>11.39</v>
      </c>
      <c r="F10" s="39">
        <f t="shared" si="8"/>
        <v>-1.2400000000000002</v>
      </c>
      <c r="G10" s="39">
        <f>$S$12</f>
        <v>-1.0030208333333337</v>
      </c>
      <c r="H10" s="39">
        <f t="shared" si="0"/>
        <v>11.153020833333334</v>
      </c>
      <c r="I10" s="38">
        <f t="shared" si="5"/>
        <v>10.474686274509803</v>
      </c>
      <c r="J10" s="38">
        <f t="shared" si="1"/>
        <v>-0.32468627450980314</v>
      </c>
      <c r="K10" s="38">
        <f t="shared" si="2"/>
        <v>0.32468627450980314</v>
      </c>
      <c r="L10" s="38">
        <f t="shared" si="3"/>
        <v>0.10542117685505524</v>
      </c>
      <c r="M10" s="38">
        <f t="shared" si="4"/>
        <v>3.1988795518207207E-2</v>
      </c>
      <c r="N10" s="27"/>
      <c r="O10" s="57" t="s">
        <v>81</v>
      </c>
      <c r="P10" s="33"/>
      <c r="Q10" s="58">
        <f>AVERAGE(F8,F12,F16)</f>
        <v>-0.23875000000000077</v>
      </c>
      <c r="R10" s="33"/>
      <c r="S10" s="59">
        <f t="shared" ref="S10:S12" si="9">Q10-R$13</f>
        <v>-0.22802083333333392</v>
      </c>
      <c r="T10" s="24"/>
      <c r="U10" s="24"/>
      <c r="V10" s="24"/>
      <c r="W10" s="24"/>
      <c r="X10" s="24"/>
    </row>
    <row r="11" spans="1:24" x14ac:dyDescent="0.25">
      <c r="A11" s="34" t="s">
        <v>66</v>
      </c>
      <c r="B11" s="35">
        <v>9</v>
      </c>
      <c r="C11" s="35">
        <v>15.26</v>
      </c>
      <c r="D11" s="39">
        <f t="shared" si="6"/>
        <v>11.484999999999999</v>
      </c>
      <c r="E11" s="39">
        <f t="shared" si="7"/>
        <v>11.59375</v>
      </c>
      <c r="F11" s="39">
        <f t="shared" si="8"/>
        <v>3.6662499999999998</v>
      </c>
      <c r="G11" s="39">
        <f>$S$9</f>
        <v>3.4898958333333341</v>
      </c>
      <c r="H11" s="39">
        <f t="shared" si="0"/>
        <v>11.770104166666666</v>
      </c>
      <c r="I11" s="38">
        <f t="shared" si="5"/>
        <v>15.178438725490196</v>
      </c>
      <c r="J11" s="38">
        <f t="shared" si="1"/>
        <v>8.1561274509803994E-2</v>
      </c>
      <c r="K11" s="38">
        <f t="shared" si="2"/>
        <v>8.1561274509803994E-2</v>
      </c>
      <c r="L11" s="38">
        <f t="shared" si="3"/>
        <v>6.6522414996636027E-3</v>
      </c>
      <c r="M11" s="38">
        <f t="shared" si="4"/>
        <v>5.3447755248888593E-3</v>
      </c>
      <c r="N11" s="27"/>
      <c r="O11" s="57" t="s">
        <v>82</v>
      </c>
      <c r="P11" s="33"/>
      <c r="Q11" s="58">
        <f>AVERAGE(F5,F9,F13)</f>
        <v>-2.2695833333333333</v>
      </c>
      <c r="R11" s="33"/>
      <c r="S11" s="59">
        <f t="shared" si="9"/>
        <v>-2.2588541666666666</v>
      </c>
      <c r="T11" s="24"/>
      <c r="U11" s="24"/>
      <c r="V11" s="24"/>
      <c r="W11" s="24"/>
      <c r="X11" s="24"/>
    </row>
    <row r="12" spans="1:24" x14ac:dyDescent="0.25">
      <c r="A12" s="34" t="s">
        <v>67</v>
      </c>
      <c r="B12" s="35">
        <v>10</v>
      </c>
      <c r="C12" s="35">
        <v>11.58</v>
      </c>
      <c r="D12" s="39">
        <f t="shared" si="6"/>
        <v>11.702500000000001</v>
      </c>
      <c r="E12" s="39">
        <f t="shared" si="7"/>
        <v>11.855</v>
      </c>
      <c r="F12" s="39">
        <f t="shared" si="8"/>
        <v>-0.27500000000000036</v>
      </c>
      <c r="G12" s="39">
        <f>$S$10</f>
        <v>-0.22802083333333392</v>
      </c>
      <c r="H12" s="39">
        <f t="shared" si="0"/>
        <v>11.808020833333334</v>
      </c>
      <c r="I12" s="38">
        <f t="shared" si="5"/>
        <v>11.671357843137255</v>
      </c>
      <c r="J12" s="38">
        <f t="shared" si="1"/>
        <v>-9.1357843137254591E-2</v>
      </c>
      <c r="K12" s="38">
        <f t="shared" si="2"/>
        <v>9.1357843137254591E-2</v>
      </c>
      <c r="L12" s="38">
        <f t="shared" si="3"/>
        <v>8.3462555026912154E-3</v>
      </c>
      <c r="M12" s="38">
        <f t="shared" si="4"/>
        <v>7.8892783365504832E-3</v>
      </c>
      <c r="N12" s="27"/>
      <c r="O12" s="57" t="s">
        <v>83</v>
      </c>
      <c r="P12" s="33"/>
      <c r="Q12" s="58">
        <f>AVERAGE(F6,F10,F14)</f>
        <v>-1.0137500000000006</v>
      </c>
      <c r="R12" s="33"/>
      <c r="S12" s="59">
        <f t="shared" si="9"/>
        <v>-1.0030208333333337</v>
      </c>
      <c r="T12" s="24"/>
      <c r="U12" s="24"/>
      <c r="V12" s="24"/>
      <c r="W12" s="24"/>
      <c r="X12" s="24"/>
    </row>
    <row r="13" spans="1:24" x14ac:dyDescent="0.25">
      <c r="A13" s="34" t="s">
        <v>68</v>
      </c>
      <c r="B13" s="35">
        <v>11</v>
      </c>
      <c r="C13" s="35">
        <v>9.82</v>
      </c>
      <c r="D13" s="39">
        <f t="shared" si="6"/>
        <v>12.007499999999999</v>
      </c>
      <c r="E13" s="39">
        <f t="shared" si="7"/>
        <v>12.076249999999998</v>
      </c>
      <c r="F13" s="39">
        <f t="shared" si="8"/>
        <v>-2.2562499999999979</v>
      </c>
      <c r="G13" s="39">
        <f>$S$11</f>
        <v>-2.2588541666666666</v>
      </c>
      <c r="H13" s="39">
        <f t="shared" si="0"/>
        <v>12.078854166666666</v>
      </c>
      <c r="I13" s="38">
        <f t="shared" si="5"/>
        <v>9.8513602941176472</v>
      </c>
      <c r="J13" s="38">
        <f t="shared" si="1"/>
        <v>-3.1360294117646959E-2</v>
      </c>
      <c r="K13" s="38">
        <f t="shared" si="2"/>
        <v>3.1360294117646959E-2</v>
      </c>
      <c r="L13" s="38">
        <f t="shared" si="3"/>
        <v>9.8346804714532251E-4</v>
      </c>
      <c r="M13" s="38">
        <f t="shared" si="4"/>
        <v>3.1935126392715844E-3</v>
      </c>
      <c r="N13" s="27"/>
      <c r="O13" s="60"/>
      <c r="P13" s="61"/>
      <c r="Q13" s="61"/>
      <c r="R13" s="62">
        <f>AVERAGE(Q9:Q12)</f>
        <v>-1.0729166666666845E-2</v>
      </c>
      <c r="S13" s="63"/>
      <c r="T13" s="24"/>
      <c r="U13" s="24"/>
      <c r="V13" s="24"/>
      <c r="W13" s="24"/>
      <c r="X13" s="24"/>
    </row>
    <row r="14" spans="1:24" x14ac:dyDescent="0.25">
      <c r="A14" s="34" t="s">
        <v>69</v>
      </c>
      <c r="B14" s="35">
        <v>12</v>
      </c>
      <c r="C14" s="35">
        <v>11.37</v>
      </c>
      <c r="D14" s="39">
        <f t="shared" si="6"/>
        <v>12.145</v>
      </c>
      <c r="E14" s="39">
        <f t="shared" si="7"/>
        <v>12.26125</v>
      </c>
      <c r="F14" s="39">
        <f t="shared" si="8"/>
        <v>-0.89125000000000121</v>
      </c>
      <c r="G14" s="39">
        <f>$S$12</f>
        <v>-1.0030208333333337</v>
      </c>
      <c r="H14" s="39">
        <f t="shared" si="0"/>
        <v>12.373020833333333</v>
      </c>
      <c r="I14" s="38">
        <f t="shared" si="5"/>
        <v>11.318029411764705</v>
      </c>
      <c r="J14" s="38">
        <f t="shared" si="1"/>
        <v>5.1970588235294102E-2</v>
      </c>
      <c r="K14" s="38">
        <f t="shared" si="2"/>
        <v>5.1970588235294102E-2</v>
      </c>
      <c r="L14" s="38">
        <f t="shared" si="3"/>
        <v>2.7009420415224899E-3</v>
      </c>
      <c r="M14" s="38">
        <f t="shared" si="4"/>
        <v>4.5708520875368608E-3</v>
      </c>
      <c r="N14" s="27"/>
      <c r="O14" s="24"/>
      <c r="P14" s="24"/>
      <c r="Q14" s="24"/>
      <c r="R14" s="24"/>
      <c r="S14" s="24"/>
      <c r="T14" s="24"/>
      <c r="U14" s="24"/>
      <c r="V14" s="24"/>
      <c r="W14" s="24"/>
      <c r="X14" s="24"/>
    </row>
    <row r="15" spans="1:24" x14ac:dyDescent="0.25">
      <c r="A15" s="34" t="s">
        <v>70</v>
      </c>
      <c r="B15" s="35">
        <v>13</v>
      </c>
      <c r="C15" s="35">
        <v>15.81</v>
      </c>
      <c r="D15" s="39">
        <f t="shared" si="6"/>
        <v>12.3775</v>
      </c>
      <c r="E15" s="39">
        <f t="shared" si="7"/>
        <v>12.516249999999999</v>
      </c>
      <c r="F15" s="39">
        <f t="shared" si="8"/>
        <v>3.2937500000000011</v>
      </c>
      <c r="G15" s="39">
        <f>$S$9</f>
        <v>3.4898958333333341</v>
      </c>
      <c r="H15" s="39">
        <f t="shared" si="0"/>
        <v>12.320104166666667</v>
      </c>
      <c r="I15" s="38">
        <f t="shared" si="5"/>
        <v>16.021781862745101</v>
      </c>
      <c r="J15" s="38">
        <f t="shared" si="1"/>
        <v>-0.21178186274510047</v>
      </c>
      <c r="K15" s="38">
        <f t="shared" si="2"/>
        <v>0.21178186274510047</v>
      </c>
      <c r="L15" s="38">
        <f t="shared" si="3"/>
        <v>4.4851557387784576E-2</v>
      </c>
      <c r="M15" s="38">
        <f t="shared" si="4"/>
        <v>1.3395437238779282E-2</v>
      </c>
      <c r="N15" s="27"/>
      <c r="O15" s="25" t="s">
        <v>133</v>
      </c>
      <c r="P15" s="65">
        <f>SUM(S9:S12)</f>
        <v>0</v>
      </c>
      <c r="Q15" s="28" t="s">
        <v>134</v>
      </c>
      <c r="R15" s="24"/>
      <c r="S15" s="24"/>
      <c r="T15" s="24"/>
      <c r="U15" s="24"/>
      <c r="V15" s="24"/>
      <c r="W15" s="24"/>
      <c r="X15" s="24"/>
    </row>
    <row r="16" spans="1:24" x14ac:dyDescent="0.25">
      <c r="A16" s="34" t="s">
        <v>71</v>
      </c>
      <c r="B16" s="35">
        <v>14</v>
      </c>
      <c r="C16" s="35">
        <v>12.51</v>
      </c>
      <c r="D16" s="39">
        <f t="shared" si="6"/>
        <v>12.654999999999999</v>
      </c>
      <c r="E16" s="39">
        <f t="shared" si="7"/>
        <v>12.772500000000001</v>
      </c>
      <c r="F16" s="39">
        <f t="shared" si="8"/>
        <v>-0.26250000000000107</v>
      </c>
      <c r="G16" s="39">
        <f>$S$10</f>
        <v>-0.22802083333333392</v>
      </c>
      <c r="H16" s="39">
        <f t="shared" si="0"/>
        <v>12.738020833333334</v>
      </c>
      <c r="I16" s="38">
        <f t="shared" si="5"/>
        <v>12.514700980392156</v>
      </c>
      <c r="J16" s="38">
        <f t="shared" si="1"/>
        <v>-4.7009803921564952E-3</v>
      </c>
      <c r="K16" s="38">
        <f t="shared" si="2"/>
        <v>4.7009803921564952E-3</v>
      </c>
      <c r="L16" s="38">
        <f t="shared" si="3"/>
        <v>2.2099216647439835E-5</v>
      </c>
      <c r="M16" s="38">
        <f t="shared" si="4"/>
        <v>3.7577780912521945E-4</v>
      </c>
      <c r="N16" s="27"/>
      <c r="O16" s="28"/>
      <c r="S16" s="24"/>
      <c r="T16" s="24"/>
      <c r="U16" s="24"/>
      <c r="V16" s="24"/>
      <c r="W16" s="24"/>
      <c r="X16" s="24"/>
    </row>
    <row r="17" spans="1:27" x14ac:dyDescent="0.25">
      <c r="A17" s="34" t="s">
        <v>72</v>
      </c>
      <c r="B17" s="35">
        <v>15</v>
      </c>
      <c r="C17" s="35">
        <v>10.93</v>
      </c>
      <c r="D17" s="39">
        <f t="shared" si="6"/>
        <v>12.89</v>
      </c>
      <c r="E17" s="39"/>
      <c r="F17" s="39"/>
      <c r="G17" s="39">
        <f>$S$11</f>
        <v>-2.2588541666666666</v>
      </c>
      <c r="H17" s="39">
        <f t="shared" si="0"/>
        <v>13.188854166666665</v>
      </c>
      <c r="I17" s="38">
        <f t="shared" si="5"/>
        <v>10.694703431372549</v>
      </c>
      <c r="J17" s="38">
        <f t="shared" si="1"/>
        <v>0.23529656862745085</v>
      </c>
      <c r="K17" s="38">
        <f t="shared" si="2"/>
        <v>0.23529656862745085</v>
      </c>
      <c r="L17" s="38">
        <f t="shared" si="3"/>
        <v>5.536447520785269E-2</v>
      </c>
      <c r="M17" s="38">
        <f t="shared" si="4"/>
        <v>2.1527590908275468E-2</v>
      </c>
      <c r="N17" s="27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7" x14ac:dyDescent="0.25">
      <c r="A18" s="34" t="s">
        <v>73</v>
      </c>
      <c r="B18" s="35">
        <v>16</v>
      </c>
      <c r="C18" s="35">
        <v>12.31</v>
      </c>
      <c r="D18" s="39"/>
      <c r="E18" s="39"/>
      <c r="F18" s="39"/>
      <c r="G18" s="39">
        <f>$S$12</f>
        <v>-1.0030208333333337</v>
      </c>
      <c r="H18" s="39">
        <f t="shared" si="0"/>
        <v>13.313020833333335</v>
      </c>
      <c r="I18" s="38">
        <f t="shared" si="5"/>
        <v>12.161372549019607</v>
      </c>
      <c r="J18" s="38">
        <f t="shared" si="1"/>
        <v>0.14862745098039376</v>
      </c>
      <c r="K18" s="38">
        <f t="shared" si="2"/>
        <v>0.14862745098039376</v>
      </c>
      <c r="L18" s="38">
        <f t="shared" si="3"/>
        <v>2.2090119184929351E-2</v>
      </c>
      <c r="M18" s="38">
        <f t="shared" si="4"/>
        <v>1.2073716570300061E-2</v>
      </c>
      <c r="N18" s="27"/>
      <c r="O18" s="24"/>
      <c r="P18" s="24"/>
      <c r="Q18" s="24"/>
      <c r="R18" s="24"/>
      <c r="S18" s="24"/>
      <c r="T18" s="24"/>
      <c r="U18" s="24"/>
      <c r="V18" s="24"/>
      <c r="W18" s="24"/>
      <c r="X18" s="24"/>
    </row>
    <row r="19" spans="1:27" ht="15.75" customHeight="1" thickBot="1" x14ac:dyDescent="0.3">
      <c r="A19" s="32"/>
      <c r="B19" s="30"/>
      <c r="C19" s="30"/>
      <c r="D19" s="31"/>
      <c r="E19" s="31"/>
      <c r="F19" s="31"/>
      <c r="G19" s="31"/>
      <c r="H19" s="30"/>
      <c r="I19" s="30"/>
      <c r="J19" s="7"/>
      <c r="K19" s="7"/>
      <c r="L19" s="7"/>
      <c r="M19" s="7"/>
      <c r="N19" s="36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7" x14ac:dyDescent="0.25">
      <c r="A20" s="40" t="s">
        <v>74</v>
      </c>
      <c r="B20" s="41">
        <v>17</v>
      </c>
      <c r="C20" s="41">
        <v>16.670000000000002</v>
      </c>
      <c r="D20" s="42"/>
      <c r="E20" s="42"/>
      <c r="F20" s="42"/>
      <c r="G20" s="42">
        <f>$S$9</f>
        <v>3.4898958333333341</v>
      </c>
      <c r="H20" s="42"/>
      <c r="I20" s="42">
        <f>($P$2+$R$2*B20)+G20</f>
        <v>16.865125000000003</v>
      </c>
      <c r="J20" s="42">
        <f t="shared" si="1"/>
        <v>-0.19512500000000088</v>
      </c>
      <c r="K20" s="42">
        <f t="shared" si="2"/>
        <v>0.19512500000000088</v>
      </c>
      <c r="L20" s="42">
        <f t="shared" ref="L20:L23" si="10">J20^2</f>
        <v>3.8073765625000346E-2</v>
      </c>
      <c r="M20" s="42">
        <f t="shared" si="4"/>
        <v>1.1705158968206411E-2</v>
      </c>
      <c r="N20" s="37"/>
      <c r="O20" s="24"/>
      <c r="P20" s="24"/>
      <c r="Q20" s="24"/>
      <c r="R20" s="24"/>
      <c r="S20" s="24"/>
      <c r="T20" s="24"/>
      <c r="U20" s="24"/>
      <c r="V20" s="24"/>
      <c r="W20" s="24"/>
      <c r="X20" s="24"/>
    </row>
    <row r="21" spans="1:27" x14ac:dyDescent="0.25">
      <c r="A21" s="40" t="s">
        <v>75</v>
      </c>
      <c r="B21" s="41">
        <v>18</v>
      </c>
      <c r="C21" s="41">
        <v>11.91</v>
      </c>
      <c r="D21" s="42"/>
      <c r="E21" s="42"/>
      <c r="F21" s="42"/>
      <c r="G21" s="42">
        <f>$S$10</f>
        <v>-0.22802083333333392</v>
      </c>
      <c r="H21" s="42"/>
      <c r="I21" s="42">
        <f t="shared" ref="I21:I23" si="11">($P$2+$R$2*B21)+G21</f>
        <v>13.35804411764706</v>
      </c>
      <c r="J21" s="42">
        <f t="shared" si="1"/>
        <v>-1.4480441176470595</v>
      </c>
      <c r="K21" s="42">
        <f t="shared" si="2"/>
        <v>1.4480441176470595</v>
      </c>
      <c r="L21" s="42">
        <f t="shared" si="10"/>
        <v>2.0968317666522513</v>
      </c>
      <c r="M21" s="42">
        <f t="shared" si="4"/>
        <v>0.12158220971008056</v>
      </c>
      <c r="N21" s="37"/>
      <c r="O21" s="24"/>
      <c r="P21" s="24"/>
      <c r="Q21" s="24"/>
      <c r="R21" s="24"/>
      <c r="S21" s="24"/>
      <c r="T21" s="24"/>
      <c r="U21" s="24"/>
      <c r="V21" s="24"/>
      <c r="W21" s="24"/>
      <c r="X21" s="24"/>
    </row>
    <row r="22" spans="1:27" x14ac:dyDescent="0.25">
      <c r="A22" s="40" t="s">
        <v>76</v>
      </c>
      <c r="B22" s="41">
        <v>19</v>
      </c>
      <c r="C22" s="41">
        <v>11.15</v>
      </c>
      <c r="D22" s="42"/>
      <c r="E22" s="42"/>
      <c r="F22" s="42"/>
      <c r="G22" s="42">
        <f>$S$11</f>
        <v>-2.2588541666666666</v>
      </c>
      <c r="H22" s="42"/>
      <c r="I22" s="42">
        <f t="shared" si="11"/>
        <v>11.53804656862745</v>
      </c>
      <c r="J22" s="42">
        <f t="shared" si="1"/>
        <v>-0.38804656862745013</v>
      </c>
      <c r="K22" s="42">
        <f t="shared" si="2"/>
        <v>0.38804656862745013</v>
      </c>
      <c r="L22" s="42">
        <f t="shared" si="10"/>
        <v>0.15058013942353837</v>
      </c>
      <c r="M22" s="42">
        <f t="shared" si="4"/>
        <v>3.4802382836542613E-2</v>
      </c>
      <c r="N22" s="37"/>
      <c r="O22" s="64"/>
      <c r="P22" s="24"/>
      <c r="Q22" s="24"/>
      <c r="R22" s="24"/>
      <c r="S22" s="24"/>
      <c r="T22" s="24"/>
      <c r="U22" s="24"/>
      <c r="V22" s="24"/>
      <c r="W22" s="24"/>
      <c r="X22" s="24"/>
    </row>
    <row r="23" spans="1:27" x14ac:dyDescent="0.25">
      <c r="A23" s="43" t="s">
        <v>77</v>
      </c>
      <c r="B23" s="41">
        <v>20</v>
      </c>
      <c r="C23" s="41">
        <v>11.73</v>
      </c>
      <c r="D23" s="42"/>
      <c r="E23" s="42"/>
      <c r="F23" s="42"/>
      <c r="G23" s="42">
        <f>$S$12</f>
        <v>-1.0030208333333337</v>
      </c>
      <c r="H23" s="42"/>
      <c r="I23" s="42">
        <f t="shared" si="11"/>
        <v>13.004715686274508</v>
      </c>
      <c r="J23" s="42">
        <f t="shared" si="1"/>
        <v>-1.2747156862745079</v>
      </c>
      <c r="K23" s="42">
        <f t="shared" si="2"/>
        <v>1.2747156862745079</v>
      </c>
      <c r="L23" s="42">
        <f t="shared" si="10"/>
        <v>1.6249000808342897</v>
      </c>
      <c r="M23" s="42">
        <f t="shared" si="4"/>
        <v>0.10867141400464687</v>
      </c>
      <c r="N23" s="64"/>
      <c r="O23" s="24"/>
      <c r="P23" s="24"/>
      <c r="Q23" s="24"/>
      <c r="R23" s="24"/>
      <c r="S23" s="24"/>
      <c r="T23" s="24"/>
      <c r="U23" s="24"/>
      <c r="V23" s="24"/>
      <c r="W23" s="24"/>
      <c r="X23" s="24"/>
    </row>
    <row r="24" spans="1:27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 s="64"/>
      <c r="O24" s="24"/>
      <c r="P24" s="24"/>
      <c r="Q24" s="24"/>
      <c r="R24" s="24"/>
      <c r="S24" s="24"/>
      <c r="T24" s="24"/>
      <c r="U24" s="24"/>
      <c r="V24" s="24"/>
      <c r="W24" s="24"/>
      <c r="X24" s="24"/>
    </row>
    <row r="25" spans="1:27" x14ac:dyDescent="0.25">
      <c r="A25"/>
      <c r="B25"/>
      <c r="C25"/>
      <c r="D25"/>
      <c r="E25"/>
      <c r="F25"/>
      <c r="G25"/>
      <c r="H25"/>
      <c r="I25"/>
      <c r="J25"/>
      <c r="K25" s="72" t="s">
        <v>141</v>
      </c>
      <c r="L25" s="72"/>
      <c r="M25"/>
      <c r="N25" s="64"/>
      <c r="O25" s="24"/>
      <c r="P25" s="24"/>
      <c r="Q25" s="24"/>
      <c r="R25" s="24"/>
      <c r="S25" s="24"/>
      <c r="T25" s="24"/>
      <c r="U25" s="24"/>
      <c r="V25" s="24"/>
      <c r="W25" s="24"/>
      <c r="X25" s="24"/>
    </row>
    <row r="26" spans="1:27" x14ac:dyDescent="0.25">
      <c r="A26"/>
      <c r="B26"/>
      <c r="C26"/>
      <c r="D26"/>
      <c r="E26"/>
      <c r="F26"/>
      <c r="G26"/>
      <c r="H26"/>
      <c r="I26"/>
      <c r="J26"/>
      <c r="K26" s="73" t="s">
        <v>142</v>
      </c>
      <c r="L26" s="73" t="s">
        <v>143</v>
      </c>
      <c r="M26" s="73" t="s">
        <v>138</v>
      </c>
      <c r="N26" s="64"/>
      <c r="O26" s="24"/>
      <c r="P26" s="24"/>
      <c r="Q26" s="24"/>
      <c r="R26" s="24"/>
      <c r="S26" s="24"/>
      <c r="T26" s="24"/>
      <c r="U26" s="24"/>
      <c r="V26" s="24"/>
      <c r="W26" s="24"/>
      <c r="X26" s="24"/>
    </row>
    <row r="27" spans="1:27" x14ac:dyDescent="0.25">
      <c r="A27"/>
      <c r="B27"/>
      <c r="C27"/>
      <c r="D27"/>
      <c r="E27"/>
      <c r="F27"/>
      <c r="G27"/>
      <c r="H27"/>
      <c r="I27"/>
      <c r="J27"/>
      <c r="K27" s="74">
        <f>AVERAGE(K3:K18)</f>
        <v>0.134295036764706</v>
      </c>
      <c r="L27" s="74">
        <f>AVERAGE(L3:L18)</f>
        <v>3.6038487285539218E-2</v>
      </c>
      <c r="M27" s="75">
        <f>AVERAGE(M3:M18)</f>
        <v>1.1563572964068312E-2</v>
      </c>
      <c r="N27" s="64"/>
      <c r="O27" s="24"/>
      <c r="P27" s="24"/>
      <c r="Q27" s="24"/>
      <c r="R27" s="24"/>
      <c r="S27" s="24"/>
      <c r="T27" s="24"/>
      <c r="U27" s="24"/>
      <c r="V27" s="24"/>
      <c r="W27" s="24"/>
      <c r="X27" s="24"/>
    </row>
    <row r="28" spans="1:27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 s="64"/>
      <c r="O28" s="24"/>
      <c r="P28" s="24"/>
      <c r="Q28" s="24"/>
      <c r="R28" s="24"/>
      <c r="S28" s="24"/>
      <c r="T28" s="24"/>
      <c r="U28" s="24"/>
      <c r="V28" s="24"/>
      <c r="W28" s="24"/>
      <c r="X28" s="24"/>
    </row>
    <row r="29" spans="1:27" x14ac:dyDescent="0.25">
      <c r="A29"/>
      <c r="B29"/>
      <c r="C29"/>
      <c r="D29"/>
      <c r="E29"/>
      <c r="F29"/>
      <c r="G29"/>
      <c r="H29"/>
      <c r="I29"/>
      <c r="J29"/>
      <c r="K29" s="72" t="s">
        <v>144</v>
      </c>
      <c r="L29" s="72"/>
      <c r="M29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r="30" spans="1:27" x14ac:dyDescent="0.25">
      <c r="K30" s="73" t="s">
        <v>142</v>
      </c>
      <c r="L30" s="73" t="s">
        <v>143</v>
      </c>
      <c r="M30" s="73" t="s">
        <v>138</v>
      </c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</row>
    <row r="31" spans="1:27" x14ac:dyDescent="0.25">
      <c r="K31" s="74">
        <f>AVERAGE(K20:K23)</f>
        <v>0.82648284313725462</v>
      </c>
      <c r="L31" s="74">
        <f>AVERAGE(L20:L23)</f>
        <v>0.97759643813376995</v>
      </c>
      <c r="M31" s="75">
        <f>AVERAGE(M20:M23)</f>
        <v>6.9190291379869109E-2</v>
      </c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</row>
    <row r="32" spans="1:27" ht="16.5" thickBot="1" x14ac:dyDescent="0.3">
      <c r="A32" s="46" t="s">
        <v>112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</row>
    <row r="33" spans="1:22" x14ac:dyDescent="0.25">
      <c r="A33" s="47" t="s">
        <v>113</v>
      </c>
      <c r="B33" s="48" t="s">
        <v>114</v>
      </c>
      <c r="C33" s="48"/>
      <c r="D33" s="48"/>
      <c r="E33" s="48"/>
      <c r="F33" s="48"/>
      <c r="G33" s="48"/>
      <c r="H33" s="48"/>
      <c r="I33" s="48"/>
      <c r="J33" s="70"/>
      <c r="K33" s="70"/>
      <c r="L33" s="70"/>
      <c r="M33" s="70"/>
      <c r="N33" s="70"/>
      <c r="O33"/>
      <c r="P33"/>
      <c r="Q33"/>
      <c r="R33"/>
      <c r="S33"/>
      <c r="T33"/>
      <c r="U33"/>
      <c r="V33"/>
    </row>
    <row r="34" spans="1:22" x14ac:dyDescent="0.25">
      <c r="A34" s="47"/>
      <c r="B34" s="48"/>
      <c r="C34" s="48" t="s">
        <v>115</v>
      </c>
      <c r="D34" s="48"/>
      <c r="E34" s="48"/>
      <c r="F34" s="48"/>
      <c r="G34" s="48"/>
      <c r="H34" s="48"/>
      <c r="I34" s="48"/>
      <c r="J34" s="70"/>
      <c r="K34" s="70"/>
      <c r="L34" s="70"/>
      <c r="M34" s="70"/>
      <c r="N34" s="70"/>
      <c r="O34"/>
      <c r="P34"/>
      <c r="Q34"/>
      <c r="R34"/>
      <c r="S34"/>
      <c r="T34"/>
      <c r="U34"/>
      <c r="V34"/>
    </row>
    <row r="35" spans="1:22" x14ac:dyDescent="0.25">
      <c r="A35" s="3"/>
      <c r="B35" s="48"/>
      <c r="C35" s="48" t="s">
        <v>116</v>
      </c>
      <c r="D35" s="48"/>
      <c r="E35" s="48"/>
      <c r="F35" s="48"/>
      <c r="G35" s="48"/>
      <c r="H35" s="48"/>
      <c r="I35" s="48"/>
      <c r="J35" s="70"/>
      <c r="K35" s="70"/>
      <c r="L35" s="70"/>
      <c r="M35" s="70"/>
      <c r="N35" s="70"/>
      <c r="O35"/>
      <c r="P35"/>
      <c r="Q35"/>
      <c r="R35"/>
      <c r="S35"/>
      <c r="T35"/>
      <c r="U35"/>
      <c r="V35"/>
    </row>
    <row r="36" spans="1:22" ht="16.5" thickBot="1" x14ac:dyDescent="0.3">
      <c r="A36" s="3"/>
      <c r="B36" s="48"/>
      <c r="C36" s="48" t="s">
        <v>117</v>
      </c>
      <c r="D36" s="48"/>
      <c r="E36" s="48"/>
      <c r="F36" s="3"/>
      <c r="G36" s="48"/>
      <c r="H36" s="48"/>
      <c r="I36" s="48"/>
      <c r="J36" s="70"/>
      <c r="K36" s="70"/>
      <c r="L36" s="70"/>
      <c r="M36" s="70"/>
      <c r="N36" s="70"/>
      <c r="O36"/>
      <c r="P36"/>
      <c r="Q36"/>
      <c r="R36"/>
      <c r="S36"/>
      <c r="T36"/>
      <c r="U36"/>
      <c r="V36"/>
    </row>
    <row r="37" spans="1:22" x14ac:dyDescent="0.25">
      <c r="A37" s="3"/>
      <c r="B37" s="48"/>
      <c r="C37" s="48"/>
      <c r="D37" s="48"/>
      <c r="E37" s="3"/>
      <c r="F37" s="51"/>
      <c r="G37" s="51" t="s">
        <v>101</v>
      </c>
      <c r="H37" s="48"/>
      <c r="I37" s="49"/>
      <c r="J37" s="71"/>
      <c r="K37" s="71"/>
      <c r="L37" s="71"/>
      <c r="M37" s="71"/>
      <c r="N37" s="71"/>
      <c r="O37"/>
      <c r="P37"/>
      <c r="Q37"/>
      <c r="R37"/>
      <c r="S37"/>
      <c r="T37" t="s">
        <v>28</v>
      </c>
      <c r="U37"/>
      <c r="V37" t="s">
        <v>28</v>
      </c>
    </row>
    <row r="38" spans="1:22" x14ac:dyDescent="0.25">
      <c r="A38" s="3"/>
      <c r="B38" s="3"/>
      <c r="C38" s="3"/>
      <c r="D38" s="3"/>
      <c r="E38" s="3"/>
      <c r="F38" s="52" t="s">
        <v>108</v>
      </c>
      <c r="G38" s="52">
        <v>9.7910208333333326</v>
      </c>
      <c r="H38" s="3" t="s">
        <v>118</v>
      </c>
      <c r="I38" s="3"/>
      <c r="J38" s="19"/>
      <c r="K38" s="19"/>
      <c r="L38" s="19"/>
      <c r="M38" s="19"/>
      <c r="N38" s="19"/>
      <c r="O38"/>
      <c r="P38"/>
      <c r="Q38"/>
      <c r="R38"/>
      <c r="S38"/>
      <c r="T38"/>
      <c r="U38"/>
      <c r="V38"/>
    </row>
    <row r="39" spans="1:22" ht="16.5" thickBot="1" x14ac:dyDescent="0.3">
      <c r="A39" s="3"/>
      <c r="B39" s="3"/>
      <c r="C39" s="3"/>
      <c r="D39" s="3"/>
      <c r="E39" s="3"/>
      <c r="F39" s="53" t="s">
        <v>109</v>
      </c>
      <c r="G39" s="53">
        <v>0.21083578431372554</v>
      </c>
      <c r="H39" s="3" t="s">
        <v>119</v>
      </c>
      <c r="I39" s="3"/>
      <c r="J39" s="19"/>
      <c r="K39" s="19"/>
      <c r="L39" s="19"/>
      <c r="M39" s="19"/>
      <c r="N39" s="19"/>
      <c r="O39"/>
      <c r="P39"/>
      <c r="Q39"/>
      <c r="R39"/>
      <c r="S39"/>
      <c r="T39"/>
      <c r="U39"/>
      <c r="V39"/>
    </row>
    <row r="40" spans="1:22" x14ac:dyDescent="0.25">
      <c r="A40" s="49"/>
      <c r="B40" s="49" t="s">
        <v>139</v>
      </c>
      <c r="C40" s="49"/>
      <c r="D40" s="49"/>
      <c r="E40" s="49"/>
      <c r="F40" s="49"/>
      <c r="G40" s="49"/>
      <c r="H40" s="49"/>
      <c r="I40" s="49"/>
      <c r="J40" s="71"/>
      <c r="K40" s="71"/>
      <c r="L40" s="71"/>
      <c r="M40" s="71"/>
      <c r="N40" s="19"/>
      <c r="O40"/>
      <c r="P40"/>
      <c r="Q40"/>
      <c r="R40"/>
      <c r="S40"/>
      <c r="T40"/>
      <c r="U40"/>
      <c r="V40"/>
    </row>
    <row r="41" spans="1:22" x14ac:dyDescent="0.25">
      <c r="A41" s="50" t="s">
        <v>120</v>
      </c>
      <c r="B41" s="49" t="s">
        <v>121</v>
      </c>
      <c r="C41" s="49"/>
      <c r="D41" s="49"/>
      <c r="E41" s="49"/>
      <c r="F41" s="49"/>
      <c r="G41" s="49"/>
      <c r="H41" s="49"/>
      <c r="I41" s="49"/>
      <c r="J41" s="71"/>
      <c r="K41" s="71"/>
      <c r="L41" s="71"/>
      <c r="M41" s="71"/>
      <c r="N41" s="71"/>
      <c r="O41"/>
      <c r="P41"/>
      <c r="Q41"/>
      <c r="R41"/>
      <c r="S41"/>
      <c r="T41"/>
      <c r="U41"/>
      <c r="V41"/>
    </row>
    <row r="42" spans="1:22" x14ac:dyDescent="0.25">
      <c r="A42" s="50" t="s">
        <v>122</v>
      </c>
      <c r="B42" s="49" t="s">
        <v>123</v>
      </c>
      <c r="C42" s="49"/>
      <c r="D42" s="49"/>
      <c r="E42" s="49"/>
      <c r="F42" s="49"/>
      <c r="G42" s="49"/>
      <c r="H42" s="49"/>
      <c r="I42" s="49"/>
      <c r="J42" s="71"/>
      <c r="K42" s="71"/>
      <c r="L42" s="71"/>
      <c r="M42" s="71"/>
      <c r="N42" s="71"/>
      <c r="O42"/>
      <c r="P42"/>
      <c r="Q42"/>
      <c r="R42"/>
      <c r="S42"/>
      <c r="T42"/>
      <c r="U42"/>
      <c r="V42"/>
    </row>
    <row r="43" spans="1:22" x14ac:dyDescent="0.25">
      <c r="A43" s="50" t="s">
        <v>124</v>
      </c>
      <c r="B43" s="49" t="s">
        <v>125</v>
      </c>
      <c r="C43" s="49"/>
      <c r="D43" s="49"/>
      <c r="E43" s="49"/>
      <c r="F43" s="49"/>
      <c r="G43" s="49"/>
      <c r="H43" s="49"/>
      <c r="I43" s="49"/>
      <c r="J43" s="71"/>
      <c r="K43" s="71"/>
      <c r="L43" s="71"/>
      <c r="M43" s="71"/>
      <c r="N43" s="71"/>
      <c r="O43"/>
      <c r="P43"/>
      <c r="Q43"/>
      <c r="R43"/>
      <c r="S43"/>
      <c r="T43"/>
      <c r="U43"/>
      <c r="V43"/>
    </row>
    <row r="44" spans="1:22" x14ac:dyDescent="0.25">
      <c r="A44" s="50" t="s">
        <v>126</v>
      </c>
      <c r="B44" s="49" t="s">
        <v>127</v>
      </c>
      <c r="C44" s="49"/>
      <c r="D44" s="49"/>
      <c r="E44" s="49"/>
      <c r="F44" s="49"/>
      <c r="G44" s="49"/>
      <c r="H44" s="49"/>
      <c r="I44" s="49"/>
      <c r="J44" s="71"/>
      <c r="K44" s="71"/>
      <c r="L44" s="71"/>
      <c r="M44" s="71"/>
      <c r="N44" s="71"/>
      <c r="O44"/>
      <c r="P44"/>
      <c r="Q44"/>
      <c r="R44"/>
      <c r="S44"/>
      <c r="T44"/>
      <c r="U44"/>
      <c r="V44"/>
    </row>
    <row r="45" spans="1:22" x14ac:dyDescent="0.25">
      <c r="A45" s="49"/>
      <c r="B45" s="49" t="s">
        <v>128</v>
      </c>
      <c r="C45" s="49"/>
      <c r="D45" s="49"/>
      <c r="E45" s="49"/>
      <c r="F45" s="49"/>
      <c r="G45" s="49"/>
      <c r="H45" s="49"/>
      <c r="I45" s="49"/>
      <c r="J45" s="71"/>
      <c r="K45" s="71"/>
      <c r="L45" s="71"/>
      <c r="M45" s="71"/>
      <c r="N45" s="71"/>
      <c r="O45"/>
      <c r="P45"/>
      <c r="Q45"/>
      <c r="R45"/>
      <c r="S45"/>
      <c r="T45"/>
      <c r="U45"/>
      <c r="V45"/>
    </row>
    <row r="46" spans="1:22" x14ac:dyDescent="0.25">
      <c r="A46" s="49"/>
      <c r="B46" s="49" t="s">
        <v>140</v>
      </c>
      <c r="C46" s="49"/>
      <c r="D46" s="49"/>
      <c r="E46" s="49"/>
      <c r="F46" s="49"/>
      <c r="G46" s="49"/>
      <c r="H46" s="49"/>
      <c r="I46" s="49"/>
      <c r="J46" s="71"/>
      <c r="K46" s="71"/>
      <c r="L46" s="71"/>
      <c r="M46" s="71"/>
      <c r="N46" s="71"/>
      <c r="O46"/>
      <c r="P46"/>
      <c r="Q46"/>
      <c r="R46"/>
      <c r="S46"/>
      <c r="T46"/>
      <c r="U46"/>
      <c r="V46"/>
    </row>
    <row r="47" spans="1:22" x14ac:dyDescent="0.25">
      <c r="A47" s="49" t="s">
        <v>129</v>
      </c>
      <c r="B47" s="49"/>
      <c r="C47" s="49"/>
      <c r="D47" s="49"/>
      <c r="E47" s="49"/>
      <c r="F47" s="49"/>
      <c r="G47" s="49"/>
      <c r="H47" s="49"/>
      <c r="I47" s="49"/>
      <c r="J47" s="71"/>
      <c r="K47" s="71"/>
      <c r="L47" s="71"/>
      <c r="M47" s="71"/>
      <c r="N47" s="71"/>
      <c r="O47"/>
      <c r="P47"/>
      <c r="Q47"/>
      <c r="R47"/>
      <c r="S47"/>
      <c r="T47"/>
      <c r="U47"/>
      <c r="V47"/>
    </row>
    <row r="48" spans="1:22" x14ac:dyDescent="0.25">
      <c r="A48" s="49"/>
      <c r="B48" s="49" t="s">
        <v>130</v>
      </c>
      <c r="C48" s="49"/>
      <c r="D48" s="49"/>
      <c r="E48" s="49"/>
      <c r="F48" s="49"/>
      <c r="G48" s="49"/>
      <c r="H48" s="49"/>
      <c r="I48" s="49"/>
      <c r="J48" s="71"/>
      <c r="K48" s="71"/>
      <c r="L48" s="71"/>
      <c r="M48" s="71"/>
      <c r="N48" s="71"/>
      <c r="O48"/>
      <c r="P48"/>
      <c r="Q48"/>
      <c r="R48"/>
      <c r="S48"/>
      <c r="T48"/>
      <c r="U48"/>
      <c r="V48"/>
    </row>
    <row r="50" spans="1:10" x14ac:dyDescent="0.25">
      <c r="A50" s="76" t="s">
        <v>145</v>
      </c>
      <c r="B50" s="77"/>
      <c r="C50" s="77"/>
      <c r="D50" s="77"/>
      <c r="E50" s="77"/>
      <c r="F50" s="77"/>
      <c r="G50" s="77"/>
      <c r="H50" s="77"/>
      <c r="I50" s="77"/>
      <c r="J50" s="77"/>
    </row>
    <row r="51" spans="1:10" x14ac:dyDescent="0.25">
      <c r="A51" s="78" t="s">
        <v>146</v>
      </c>
      <c r="B51" s="78"/>
      <c r="C51" s="79" t="s">
        <v>148</v>
      </c>
      <c r="D51" s="79"/>
      <c r="E51" s="79"/>
      <c r="F51" s="79"/>
      <c r="G51" s="79"/>
      <c r="H51" s="79"/>
      <c r="I51" s="79"/>
      <c r="J51" s="78"/>
    </row>
    <row r="52" spans="1:10" x14ac:dyDescent="0.25">
      <c r="A52" s="78"/>
      <c r="B52" s="78"/>
      <c r="C52" s="79" t="s">
        <v>147</v>
      </c>
      <c r="D52" s="79"/>
      <c r="E52" s="79"/>
      <c r="F52" s="79"/>
      <c r="G52" s="79"/>
      <c r="H52" s="79"/>
      <c r="I52" s="79"/>
      <c r="J52" s="78"/>
    </row>
    <row r="53" spans="1:10" x14ac:dyDescent="0.25">
      <c r="A53" s="78"/>
      <c r="B53" s="78"/>
      <c r="C53" s="79" t="s">
        <v>149</v>
      </c>
      <c r="D53" s="79"/>
      <c r="E53" s="79"/>
      <c r="F53" s="79"/>
      <c r="G53" s="79"/>
      <c r="H53" s="79"/>
      <c r="I53" s="79"/>
      <c r="J53" s="7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opLeftCell="A64" workbookViewId="0">
      <selection activeCell="K89" sqref="K89"/>
    </sheetView>
  </sheetViews>
  <sheetFormatPr baseColWidth="10" defaultColWidth="9.140625" defaultRowHeight="15" x14ac:dyDescent="0.25"/>
  <cols>
    <col min="8" max="8" width="17.5703125" bestFit="1" customWidth="1"/>
    <col min="10" max="10" width="16.7109375" bestFit="1" customWidth="1"/>
    <col min="11" max="11" width="16.7109375" customWidth="1"/>
    <col min="12" max="12" width="13.85546875" style="82" customWidth="1"/>
  </cols>
  <sheetData>
    <row r="1" spans="1:17" x14ac:dyDescent="0.25">
      <c r="A1" t="s">
        <v>150</v>
      </c>
      <c r="B1">
        <v>0.3</v>
      </c>
      <c r="D1" t="s">
        <v>151</v>
      </c>
      <c r="E1" s="81">
        <f>N16</f>
        <v>815.81666666666661</v>
      </c>
    </row>
    <row r="2" spans="1:17" x14ac:dyDescent="0.25">
      <c r="A2" t="s">
        <v>152</v>
      </c>
      <c r="B2">
        <v>0.7</v>
      </c>
      <c r="D2" t="s">
        <v>153</v>
      </c>
      <c r="E2" s="15">
        <f>(P16-N16)/12</f>
        <v>2.9104166666666722</v>
      </c>
    </row>
    <row r="3" spans="1:17" x14ac:dyDescent="0.25">
      <c r="A3" t="s">
        <v>154</v>
      </c>
      <c r="B3">
        <v>0.8</v>
      </c>
    </row>
    <row r="5" spans="1:17" s="19" customFormat="1" ht="15.75" thickBot="1" x14ac:dyDescent="0.3">
      <c r="A5" s="99" t="s">
        <v>0</v>
      </c>
      <c r="B5" s="100" t="s">
        <v>155</v>
      </c>
      <c r="C5" s="101" t="s">
        <v>17</v>
      </c>
      <c r="D5" s="99" t="s">
        <v>156</v>
      </c>
      <c r="E5" s="99" t="s">
        <v>157</v>
      </c>
      <c r="F5" s="99" t="s">
        <v>158</v>
      </c>
      <c r="G5" s="99" t="s">
        <v>159</v>
      </c>
      <c r="H5" s="102" t="s">
        <v>135</v>
      </c>
      <c r="I5" s="102" t="s">
        <v>161</v>
      </c>
      <c r="J5" s="102" t="s">
        <v>162</v>
      </c>
      <c r="K5"/>
      <c r="L5" s="103"/>
    </row>
    <row r="6" spans="1:17" x14ac:dyDescent="0.25">
      <c r="A6" s="89">
        <v>0</v>
      </c>
      <c r="B6" s="90"/>
      <c r="C6" s="91"/>
      <c r="D6" s="104"/>
      <c r="E6" s="105"/>
      <c r="F6" s="104">
        <f>C18-$E$1</f>
        <v>-412.31666666666661</v>
      </c>
      <c r="G6" s="92"/>
      <c r="H6" s="4"/>
      <c r="I6" s="4"/>
      <c r="J6" s="4"/>
    </row>
    <row r="7" spans="1:17" x14ac:dyDescent="0.25">
      <c r="A7" s="89">
        <v>0</v>
      </c>
      <c r="B7" s="90"/>
      <c r="C7" s="91"/>
      <c r="D7" s="106"/>
      <c r="E7" s="106"/>
      <c r="F7" s="104">
        <f t="shared" ref="F7:F17" si="0">C19-$E$1</f>
        <v>-308.61666666666662</v>
      </c>
      <c r="G7" s="92"/>
      <c r="H7" s="4"/>
      <c r="I7" s="4"/>
      <c r="J7" s="4"/>
    </row>
    <row r="8" spans="1:17" x14ac:dyDescent="0.25">
      <c r="A8" s="89">
        <v>0</v>
      </c>
      <c r="B8" s="90"/>
      <c r="C8" s="91"/>
      <c r="D8" s="106"/>
      <c r="E8" s="106"/>
      <c r="F8" s="104">
        <f t="shared" si="0"/>
        <v>-231.11666666666656</v>
      </c>
      <c r="G8" s="92"/>
      <c r="H8" s="4"/>
      <c r="I8" s="4"/>
      <c r="J8" s="4"/>
    </row>
    <row r="9" spans="1:17" x14ac:dyDescent="0.25">
      <c r="A9" s="89">
        <v>0</v>
      </c>
      <c r="B9" s="90"/>
      <c r="C9" s="91"/>
      <c r="D9" s="106"/>
      <c r="E9" s="106"/>
      <c r="F9" s="104">
        <f t="shared" si="0"/>
        <v>10.783333333333417</v>
      </c>
      <c r="G9" s="92"/>
      <c r="H9" s="4"/>
      <c r="I9" s="4"/>
      <c r="J9" s="4"/>
      <c r="O9" s="80"/>
    </row>
    <row r="10" spans="1:17" x14ac:dyDescent="0.25">
      <c r="A10" s="89">
        <v>0</v>
      </c>
      <c r="B10" s="90"/>
      <c r="C10" s="91"/>
      <c r="D10" s="106"/>
      <c r="E10" s="106"/>
      <c r="F10" s="104">
        <f t="shared" si="0"/>
        <v>201.28333333333342</v>
      </c>
      <c r="G10" s="92"/>
      <c r="H10" s="4"/>
      <c r="I10" s="4"/>
      <c r="J10" s="4"/>
    </row>
    <row r="11" spans="1:17" x14ac:dyDescent="0.25">
      <c r="A11" s="89">
        <v>0</v>
      </c>
      <c r="B11" s="90"/>
      <c r="C11" s="91"/>
      <c r="D11" s="106"/>
      <c r="E11" s="106"/>
      <c r="F11" s="104">
        <f t="shared" si="0"/>
        <v>225.18333333333339</v>
      </c>
      <c r="G11" s="92"/>
      <c r="H11" s="4"/>
      <c r="I11" s="4"/>
      <c r="J11" s="4"/>
    </row>
    <row r="12" spans="1:17" x14ac:dyDescent="0.25">
      <c r="A12" s="89">
        <v>0</v>
      </c>
      <c r="B12" s="90"/>
      <c r="C12" s="91"/>
      <c r="D12" s="106"/>
      <c r="E12" s="106"/>
      <c r="F12" s="104">
        <f t="shared" si="0"/>
        <v>400.98333333333335</v>
      </c>
      <c r="G12" s="92"/>
      <c r="H12" s="4"/>
      <c r="I12" s="4"/>
      <c r="J12" s="4"/>
    </row>
    <row r="13" spans="1:17" x14ac:dyDescent="0.25">
      <c r="A13" s="89">
        <v>0</v>
      </c>
      <c r="B13" s="90"/>
      <c r="C13" s="91"/>
      <c r="D13" s="106"/>
      <c r="E13" s="106"/>
      <c r="F13" s="104">
        <f t="shared" si="0"/>
        <v>490.88333333333344</v>
      </c>
      <c r="G13" s="92"/>
      <c r="H13" s="4"/>
      <c r="I13" s="4"/>
      <c r="J13" s="4"/>
    </row>
    <row r="14" spans="1:17" ht="15.75" thickBot="1" x14ac:dyDescent="0.3">
      <c r="A14" s="89">
        <v>0</v>
      </c>
      <c r="B14" s="90"/>
      <c r="C14" s="91"/>
      <c r="D14" s="106"/>
      <c r="E14" s="106"/>
      <c r="F14" s="104">
        <f t="shared" si="0"/>
        <v>254.2833333333333</v>
      </c>
      <c r="G14" s="92"/>
      <c r="H14" s="4"/>
      <c r="I14" s="4"/>
      <c r="J14" s="4"/>
    </row>
    <row r="15" spans="1:17" x14ac:dyDescent="0.25">
      <c r="A15" s="89">
        <v>0</v>
      </c>
      <c r="B15" s="90"/>
      <c r="C15" s="91"/>
      <c r="D15" s="106"/>
      <c r="E15" s="106"/>
      <c r="F15" s="104">
        <f t="shared" si="0"/>
        <v>22.583333333333371</v>
      </c>
      <c r="G15" s="92"/>
      <c r="H15" s="4"/>
      <c r="I15" s="4"/>
      <c r="J15" s="4"/>
      <c r="N15" s="83" t="s">
        <v>163</v>
      </c>
      <c r="O15" s="84"/>
      <c r="P15" s="83" t="s">
        <v>164</v>
      </c>
      <c r="Q15" s="84"/>
    </row>
    <row r="16" spans="1:17" ht="15.75" thickBot="1" x14ac:dyDescent="0.3">
      <c r="A16" s="89">
        <v>0</v>
      </c>
      <c r="B16" s="90"/>
      <c r="C16" s="91"/>
      <c r="D16" s="106"/>
      <c r="E16" s="106"/>
      <c r="F16" s="104">
        <f t="shared" si="0"/>
        <v>-312.51666666666659</v>
      </c>
      <c r="G16" s="92"/>
      <c r="H16" s="4"/>
      <c r="I16" s="4"/>
      <c r="J16" s="4"/>
      <c r="N16" s="85">
        <f>AVERAGE(C18:C29)</f>
        <v>815.81666666666661</v>
      </c>
      <c r="O16" s="86"/>
      <c r="P16" s="85">
        <f>AVERAGE(C30:C41)</f>
        <v>850.74166666666667</v>
      </c>
      <c r="Q16" s="86"/>
    </row>
    <row r="17" spans="1:17" x14ac:dyDescent="0.25">
      <c r="A17" s="89">
        <v>0</v>
      </c>
      <c r="B17" s="90"/>
      <c r="C17" s="91"/>
      <c r="D17" s="104">
        <f>E1</f>
        <v>815.81666666666661</v>
      </c>
      <c r="E17" s="105">
        <f>E2</f>
        <v>2.9104166666666722</v>
      </c>
      <c r="F17" s="104">
        <f t="shared" si="0"/>
        <v>-341.41666666666663</v>
      </c>
      <c r="G17" s="92"/>
      <c r="H17" s="4"/>
      <c r="I17" s="4"/>
      <c r="J17" s="4"/>
    </row>
    <row r="18" spans="1:17" x14ac:dyDescent="0.25">
      <c r="A18" s="6">
        <v>1</v>
      </c>
      <c r="B18" s="93">
        <v>36161</v>
      </c>
      <c r="C18" s="94">
        <v>403.5</v>
      </c>
      <c r="D18" s="107">
        <f>$B$1*(C18-F6)+(1-$B$1)*(D17+E17)</f>
        <v>817.85395833333325</v>
      </c>
      <c r="E18" s="107">
        <f>B$2*(D18-D17)+(1-B$2)*E17</f>
        <v>2.2992291666666547</v>
      </c>
      <c r="F18" s="107">
        <f>B$3*(C18-D18)+(1-B$3)*F6</f>
        <v>-413.94649999999996</v>
      </c>
      <c r="G18" s="95">
        <f>D17+E17+F6</f>
        <v>406.41041666666672</v>
      </c>
      <c r="H18" s="95">
        <f>C18-G18</f>
        <v>-2.9104166666667197</v>
      </c>
      <c r="I18" s="95">
        <f>ABS(H18)</f>
        <v>2.9104166666667197</v>
      </c>
      <c r="J18" s="95">
        <f>H18^2</f>
        <v>8.4705251736114207</v>
      </c>
    </row>
    <row r="19" spans="1:17" x14ac:dyDescent="0.25">
      <c r="A19" s="6">
        <v>2</v>
      </c>
      <c r="B19" s="93">
        <v>36192</v>
      </c>
      <c r="C19" s="94">
        <v>507.2</v>
      </c>
      <c r="D19" s="107">
        <f>$B$1*(C19-F7)+(1-$B$1)*(D18+E18)</f>
        <v>818.85223124999993</v>
      </c>
      <c r="E19" s="107">
        <f>B$2*(D19-D18)+(1-B$2)*E18</f>
        <v>1.3885597916666714</v>
      </c>
      <c r="F19" s="107">
        <f>B$3*(C19-D19)+(1-B$3)*F7</f>
        <v>-311.04511833333328</v>
      </c>
      <c r="G19" s="95">
        <f>D18+E18+F7</f>
        <v>511.53652083333333</v>
      </c>
      <c r="H19" s="95">
        <f t="shared" ref="H19:H82" si="1">C19-G19</f>
        <v>-4.3365208333333385</v>
      </c>
      <c r="I19" s="95">
        <f t="shared" ref="I19:I82" si="2">ABS(H19)</f>
        <v>4.3365208333333385</v>
      </c>
      <c r="J19" s="95">
        <f t="shared" ref="J19:J82" si="3">H19^2</f>
        <v>18.805412937934072</v>
      </c>
      <c r="O19" s="87"/>
      <c r="P19" s="87"/>
      <c r="Q19" s="87"/>
    </row>
    <row r="20" spans="1:17" x14ac:dyDescent="0.25">
      <c r="A20" s="6">
        <v>3</v>
      </c>
      <c r="B20" s="93">
        <v>36220</v>
      </c>
      <c r="C20" s="94">
        <v>584.70000000000005</v>
      </c>
      <c r="D20" s="107">
        <f t="shared" ref="D20:D83" si="4">$B$1*(C20-F8)+(1-$B$1)*(D19+E19)</f>
        <v>818.91355372916655</v>
      </c>
      <c r="E20" s="107">
        <f t="shared" ref="E20:E83" si="5">B$2*(D20-D19)+(1-B$2)*E19</f>
        <v>0.45949367291663534</v>
      </c>
      <c r="F20" s="107">
        <f t="shared" ref="F20:F83" si="6">B$3*(C20-D20)+(1-B$3)*F8</f>
        <v>-233.59417631666651</v>
      </c>
      <c r="G20" s="95">
        <f t="shared" ref="G20:G83" si="7">D19+E19+F8</f>
        <v>589.12412437500006</v>
      </c>
      <c r="H20" s="95">
        <f t="shared" si="1"/>
        <v>-4.4241243750000194</v>
      </c>
      <c r="I20" s="95">
        <f t="shared" si="2"/>
        <v>4.4241243750000194</v>
      </c>
      <c r="J20" s="95">
        <f t="shared" si="3"/>
        <v>19.572876485469312</v>
      </c>
    </row>
    <row r="21" spans="1:17" x14ac:dyDescent="0.25">
      <c r="A21" s="6">
        <v>4</v>
      </c>
      <c r="B21" s="93">
        <v>36251</v>
      </c>
      <c r="C21" s="94">
        <v>826.6</v>
      </c>
      <c r="D21" s="107">
        <f t="shared" si="4"/>
        <v>818.30613318145822</v>
      </c>
      <c r="E21" s="107">
        <f t="shared" si="5"/>
        <v>-0.28734628152084007</v>
      </c>
      <c r="F21" s="107">
        <f t="shared" si="6"/>
        <v>8.7917601215001238</v>
      </c>
      <c r="G21" s="95">
        <f t="shared" si="7"/>
        <v>830.15638073541663</v>
      </c>
      <c r="H21" s="95">
        <f t="shared" si="1"/>
        <v>-3.5563807354166102</v>
      </c>
      <c r="I21" s="95">
        <f t="shared" si="2"/>
        <v>3.5563807354166102</v>
      </c>
      <c r="J21" s="95">
        <f t="shared" si="3"/>
        <v>12.647843935242388</v>
      </c>
    </row>
    <row r="22" spans="1:17" x14ac:dyDescent="0.25">
      <c r="A22" s="6">
        <v>5</v>
      </c>
      <c r="B22" s="93">
        <v>36281</v>
      </c>
      <c r="C22" s="94">
        <v>1017.1</v>
      </c>
      <c r="D22" s="107">
        <f t="shared" si="4"/>
        <v>817.35815082995612</v>
      </c>
      <c r="E22" s="107">
        <f t="shared" si="5"/>
        <v>-0.74979153050772573</v>
      </c>
      <c r="F22" s="107">
        <f t="shared" si="6"/>
        <v>200.05014600270181</v>
      </c>
      <c r="G22" s="95">
        <f t="shared" si="7"/>
        <v>1019.3021202332708</v>
      </c>
      <c r="H22" s="95">
        <f t="shared" si="1"/>
        <v>-2.2021202332707617</v>
      </c>
      <c r="I22" s="95">
        <f t="shared" si="2"/>
        <v>2.2021202332707617</v>
      </c>
      <c r="J22" s="95">
        <f t="shared" si="3"/>
        <v>4.8493335217804736</v>
      </c>
    </row>
    <row r="23" spans="1:17" x14ac:dyDescent="0.25">
      <c r="A23" s="6">
        <v>6</v>
      </c>
      <c r="B23" s="93">
        <v>36312</v>
      </c>
      <c r="C23" s="94">
        <v>1041</v>
      </c>
      <c r="D23" s="107">
        <f t="shared" si="4"/>
        <v>816.37085150961377</v>
      </c>
      <c r="E23" s="107">
        <f t="shared" si="5"/>
        <v>-0.91604698339195911</v>
      </c>
      <c r="F23" s="107">
        <f t="shared" si="6"/>
        <v>224.73998545897567</v>
      </c>
      <c r="G23" s="95">
        <f t="shared" si="7"/>
        <v>1041.7916926327816</v>
      </c>
      <c r="H23" s="95">
        <f t="shared" si="1"/>
        <v>-0.79169263278163271</v>
      </c>
      <c r="I23" s="95">
        <f t="shared" si="2"/>
        <v>0.79169263278163271</v>
      </c>
      <c r="J23" s="95">
        <f t="shared" si="3"/>
        <v>0.62677722480071318</v>
      </c>
    </row>
    <row r="24" spans="1:17" x14ac:dyDescent="0.25">
      <c r="A24" s="6">
        <v>7</v>
      </c>
      <c r="B24" s="93">
        <v>36342</v>
      </c>
      <c r="C24" s="94">
        <v>1216.8</v>
      </c>
      <c r="D24" s="107">
        <f t="shared" si="4"/>
        <v>815.56336316835518</v>
      </c>
      <c r="E24" s="107">
        <f t="shared" si="5"/>
        <v>-0.84005593389860111</v>
      </c>
      <c r="F24" s="107">
        <f t="shared" si="6"/>
        <v>401.1859761319825</v>
      </c>
      <c r="G24" s="95">
        <f t="shared" si="7"/>
        <v>1216.4381378595551</v>
      </c>
      <c r="H24" s="95">
        <f t="shared" si="1"/>
        <v>0.36186214044482767</v>
      </c>
      <c r="I24" s="95">
        <f t="shared" si="2"/>
        <v>0.36186214044482767</v>
      </c>
      <c r="J24" s="95">
        <f t="shared" si="3"/>
        <v>0.13094420868731219</v>
      </c>
    </row>
    <row r="25" spans="1:17" x14ac:dyDescent="0.25">
      <c r="A25" s="6">
        <v>8</v>
      </c>
      <c r="B25" s="93">
        <v>36373</v>
      </c>
      <c r="C25" s="94">
        <v>1306.7</v>
      </c>
      <c r="D25" s="107">
        <f t="shared" si="4"/>
        <v>815.05131506411954</v>
      </c>
      <c r="E25" s="107">
        <f t="shared" si="5"/>
        <v>-0.6104504531345325</v>
      </c>
      <c r="F25" s="107">
        <f t="shared" si="6"/>
        <v>491.4956146153711</v>
      </c>
      <c r="G25" s="95">
        <f t="shared" si="7"/>
        <v>1305.60664056779</v>
      </c>
      <c r="H25" s="95">
        <f t="shared" si="1"/>
        <v>1.0933594322100362</v>
      </c>
      <c r="I25" s="95">
        <f t="shared" si="2"/>
        <v>1.0933594322100362</v>
      </c>
      <c r="J25" s="95">
        <f t="shared" si="3"/>
        <v>1.1954348480026527</v>
      </c>
    </row>
    <row r="26" spans="1:17" x14ac:dyDescent="0.25">
      <c r="A26" s="6">
        <v>9</v>
      </c>
      <c r="B26" s="93">
        <v>36404</v>
      </c>
      <c r="C26" s="94">
        <v>1070.0999999999999</v>
      </c>
      <c r="D26" s="107">
        <f t="shared" si="4"/>
        <v>814.85360522768951</v>
      </c>
      <c r="E26" s="107">
        <f t="shared" si="5"/>
        <v>-0.32153202144137505</v>
      </c>
      <c r="F26" s="107">
        <f t="shared" si="6"/>
        <v>255.05378248451498</v>
      </c>
      <c r="G26" s="95">
        <f t="shared" si="7"/>
        <v>1068.7241979443183</v>
      </c>
      <c r="H26" s="95">
        <f t="shared" si="1"/>
        <v>1.3758020556815609</v>
      </c>
      <c r="I26" s="95">
        <f t="shared" si="2"/>
        <v>1.3758020556815609</v>
      </c>
      <c r="J26" s="95">
        <f t="shared" si="3"/>
        <v>1.8928312964176088</v>
      </c>
    </row>
    <row r="27" spans="1:17" x14ac:dyDescent="0.25">
      <c r="A27" s="6">
        <v>10</v>
      </c>
      <c r="B27" s="93">
        <v>36434</v>
      </c>
      <c r="C27" s="94">
        <v>838.4</v>
      </c>
      <c r="D27" s="107">
        <f t="shared" si="4"/>
        <v>814.91745124437364</v>
      </c>
      <c r="E27" s="107">
        <f t="shared" si="5"/>
        <v>-5.1767394753525625E-2</v>
      </c>
      <c r="F27" s="107">
        <f t="shared" si="6"/>
        <v>23.302705671167747</v>
      </c>
      <c r="G27" s="95">
        <f t="shared" si="7"/>
        <v>837.1154065395815</v>
      </c>
      <c r="H27" s="95">
        <f t="shared" si="1"/>
        <v>1.2845934604184777</v>
      </c>
      <c r="I27" s="95">
        <f t="shared" si="2"/>
        <v>1.2845934604184777</v>
      </c>
      <c r="J27" s="95">
        <f t="shared" si="3"/>
        <v>1.6501803585499188</v>
      </c>
    </row>
    <row r="28" spans="1:17" x14ac:dyDescent="0.25">
      <c r="A28" s="6">
        <v>11</v>
      </c>
      <c r="B28" s="93">
        <v>36465</v>
      </c>
      <c r="C28" s="94">
        <v>503.3</v>
      </c>
      <c r="D28" s="107">
        <f t="shared" si="4"/>
        <v>815.15097869473402</v>
      </c>
      <c r="E28" s="107">
        <f t="shared" si="5"/>
        <v>0.14793899682621117</v>
      </c>
      <c r="F28" s="107">
        <f t="shared" si="6"/>
        <v>-311.98411628912049</v>
      </c>
      <c r="G28" s="95">
        <f t="shared" si="7"/>
        <v>502.34901718295356</v>
      </c>
      <c r="H28" s="95">
        <f t="shared" si="1"/>
        <v>0.9509828170464516</v>
      </c>
      <c r="I28" s="95">
        <f t="shared" si="2"/>
        <v>0.9509828170464516</v>
      </c>
      <c r="J28" s="95">
        <f t="shared" si="3"/>
        <v>0.90436831831760489</v>
      </c>
    </row>
    <row r="29" spans="1:17" x14ac:dyDescent="0.25">
      <c r="A29" s="6">
        <v>12</v>
      </c>
      <c r="B29" s="93">
        <v>36495</v>
      </c>
      <c r="C29" s="94">
        <v>474.4</v>
      </c>
      <c r="D29" s="107">
        <f t="shared" si="4"/>
        <v>815.45424238409214</v>
      </c>
      <c r="E29" s="107">
        <f t="shared" si="5"/>
        <v>0.25666628159854626</v>
      </c>
      <c r="F29" s="107">
        <f t="shared" si="6"/>
        <v>-341.12672724060707</v>
      </c>
      <c r="G29" s="95">
        <f t="shared" si="7"/>
        <v>473.88225102489355</v>
      </c>
      <c r="H29" s="95">
        <f t="shared" si="1"/>
        <v>0.51774897510642859</v>
      </c>
      <c r="I29" s="95">
        <f t="shared" si="2"/>
        <v>0.51774897510642859</v>
      </c>
      <c r="J29" s="95">
        <f t="shared" si="3"/>
        <v>0.26806400122375723</v>
      </c>
    </row>
    <row r="30" spans="1:17" x14ac:dyDescent="0.25">
      <c r="A30" s="6">
        <v>13</v>
      </c>
      <c r="B30" s="93">
        <v>36526</v>
      </c>
      <c r="C30" s="94">
        <v>452.2</v>
      </c>
      <c r="D30" s="107">
        <f t="shared" si="4"/>
        <v>830.84158606598339</v>
      </c>
      <c r="E30" s="107">
        <f t="shared" si="5"/>
        <v>10.848140461803441</v>
      </c>
      <c r="F30" s="107">
        <f t="shared" si="6"/>
        <v>-385.70256885278673</v>
      </c>
      <c r="G30" s="95">
        <f t="shared" si="7"/>
        <v>401.76440866569072</v>
      </c>
      <c r="H30" s="95">
        <f t="shared" si="1"/>
        <v>50.435591334309265</v>
      </c>
      <c r="I30" s="95">
        <f t="shared" si="2"/>
        <v>50.435591334309265</v>
      </c>
      <c r="J30" s="95">
        <f t="shared" si="3"/>
        <v>2543.7488732414517</v>
      </c>
    </row>
    <row r="31" spans="1:17" x14ac:dyDescent="0.25">
      <c r="A31" s="6">
        <v>14</v>
      </c>
      <c r="B31" s="93">
        <v>36557</v>
      </c>
      <c r="C31" s="94">
        <v>500.2</v>
      </c>
      <c r="D31" s="107">
        <f t="shared" si="4"/>
        <v>832.5563440694508</v>
      </c>
      <c r="E31" s="107">
        <f t="shared" si="5"/>
        <v>4.4547727409682185</v>
      </c>
      <c r="F31" s="107">
        <f t="shared" si="6"/>
        <v>-328.09409892222732</v>
      </c>
      <c r="G31" s="95">
        <f t="shared" si="7"/>
        <v>530.64460819445367</v>
      </c>
      <c r="H31" s="95">
        <f t="shared" si="1"/>
        <v>-30.444608194453679</v>
      </c>
      <c r="I31" s="95">
        <f t="shared" si="2"/>
        <v>30.444608194453679</v>
      </c>
      <c r="J31" s="95">
        <f t="shared" si="3"/>
        <v>926.87416811379603</v>
      </c>
    </row>
    <row r="32" spans="1:17" x14ac:dyDescent="0.25">
      <c r="A32" s="6">
        <v>15</v>
      </c>
      <c r="B32" s="93">
        <v>36586</v>
      </c>
      <c r="C32" s="94">
        <v>673.9</v>
      </c>
      <c r="D32" s="107">
        <f t="shared" si="4"/>
        <v>858.15603466229322</v>
      </c>
      <c r="E32" s="107">
        <f t="shared" si="5"/>
        <v>19.256215237280159</v>
      </c>
      <c r="F32" s="107">
        <f t="shared" si="6"/>
        <v>-194.1236629931679</v>
      </c>
      <c r="G32" s="95">
        <f t="shared" si="7"/>
        <v>603.41694049375246</v>
      </c>
      <c r="H32" s="95">
        <f t="shared" si="1"/>
        <v>70.483059506247514</v>
      </c>
      <c r="I32" s="95">
        <f t="shared" si="2"/>
        <v>70.483059506247514</v>
      </c>
      <c r="J32" s="95">
        <f t="shared" si="3"/>
        <v>4967.8616773612284</v>
      </c>
    </row>
    <row r="33" spans="1:10" x14ac:dyDescent="0.25">
      <c r="A33" s="6">
        <v>16</v>
      </c>
      <c r="B33" s="93">
        <v>36617</v>
      </c>
      <c r="C33" s="94">
        <v>916.7</v>
      </c>
      <c r="D33" s="107">
        <f t="shared" si="4"/>
        <v>886.56104689325127</v>
      </c>
      <c r="E33" s="107">
        <f t="shared" si="5"/>
        <v>25.660373132854684</v>
      </c>
      <c r="F33" s="107">
        <f t="shared" si="6"/>
        <v>25.869514509699044</v>
      </c>
      <c r="G33" s="95">
        <f t="shared" si="7"/>
        <v>886.20401002107349</v>
      </c>
      <c r="H33" s="95">
        <f t="shared" si="1"/>
        <v>30.495989978926559</v>
      </c>
      <c r="I33" s="95">
        <f t="shared" si="2"/>
        <v>30.495989978926559</v>
      </c>
      <c r="J33" s="95">
        <f t="shared" si="3"/>
        <v>930.00540479478911</v>
      </c>
    </row>
    <row r="34" spans="1:10" x14ac:dyDescent="0.25">
      <c r="A34" s="6">
        <v>17</v>
      </c>
      <c r="B34" s="93">
        <v>36647</v>
      </c>
      <c r="C34" s="94">
        <v>971.6</v>
      </c>
      <c r="D34" s="107">
        <f t="shared" si="4"/>
        <v>870.01995021746359</v>
      </c>
      <c r="E34" s="107">
        <f t="shared" si="5"/>
        <v>-3.8806557331949731</v>
      </c>
      <c r="F34" s="107">
        <f t="shared" si="6"/>
        <v>121.27406902656949</v>
      </c>
      <c r="G34" s="95">
        <f t="shared" si="7"/>
        <v>1112.2715660288077</v>
      </c>
      <c r="H34" s="95">
        <f t="shared" si="1"/>
        <v>-140.67156602880766</v>
      </c>
      <c r="I34" s="95">
        <f t="shared" si="2"/>
        <v>140.67156602880766</v>
      </c>
      <c r="J34" s="95">
        <f t="shared" si="3"/>
        <v>19788.489488997195</v>
      </c>
    </row>
    <row r="35" spans="1:10" x14ac:dyDescent="0.25">
      <c r="A35" s="6">
        <v>18</v>
      </c>
      <c r="B35" s="93">
        <v>36678</v>
      </c>
      <c r="C35" s="94">
        <v>1140.2</v>
      </c>
      <c r="D35" s="107">
        <f t="shared" si="4"/>
        <v>880.93551050129531</v>
      </c>
      <c r="E35" s="107">
        <f t="shared" si="5"/>
        <v>6.4766954787237134</v>
      </c>
      <c r="F35" s="107">
        <f t="shared" si="6"/>
        <v>252.35958869075893</v>
      </c>
      <c r="G35" s="95">
        <f t="shared" si="7"/>
        <v>1090.8792799432442</v>
      </c>
      <c r="H35" s="95">
        <f t="shared" si="1"/>
        <v>49.320720056755817</v>
      </c>
      <c r="I35" s="95">
        <f t="shared" si="2"/>
        <v>49.320720056755817</v>
      </c>
      <c r="J35" s="95">
        <f t="shared" si="3"/>
        <v>2432.5334269168757</v>
      </c>
    </row>
    <row r="36" spans="1:10" x14ac:dyDescent="0.25">
      <c r="A36" s="6">
        <v>19</v>
      </c>
      <c r="B36" s="93">
        <v>36708</v>
      </c>
      <c r="C36" s="94">
        <v>1236.7</v>
      </c>
      <c r="D36" s="107">
        <f t="shared" si="4"/>
        <v>871.84275134641848</v>
      </c>
      <c r="E36" s="107">
        <f t="shared" si="5"/>
        <v>-4.4219227647966672</v>
      </c>
      <c r="F36" s="107">
        <f t="shared" si="6"/>
        <v>372.12299414926173</v>
      </c>
      <c r="G36" s="95">
        <f t="shared" si="7"/>
        <v>1288.5981821120015</v>
      </c>
      <c r="H36" s="95">
        <f t="shared" si="1"/>
        <v>-51.89818211200145</v>
      </c>
      <c r="I36" s="95">
        <f t="shared" si="2"/>
        <v>51.89818211200145</v>
      </c>
      <c r="J36" s="95">
        <f t="shared" si="3"/>
        <v>2693.4213065304675</v>
      </c>
    </row>
    <row r="37" spans="1:10" x14ac:dyDescent="0.25">
      <c r="A37" s="6">
        <v>20</v>
      </c>
      <c r="B37" s="93">
        <v>36739</v>
      </c>
      <c r="C37" s="94">
        <v>1294.8</v>
      </c>
      <c r="D37" s="107">
        <f t="shared" si="4"/>
        <v>848.18589562252384</v>
      </c>
      <c r="E37" s="107">
        <f t="shared" si="5"/>
        <v>-17.886375836165243</v>
      </c>
      <c r="F37" s="107">
        <f t="shared" si="6"/>
        <v>455.59040642505511</v>
      </c>
      <c r="G37" s="95">
        <f t="shared" si="7"/>
        <v>1358.916443196993</v>
      </c>
      <c r="H37" s="95">
        <f t="shared" si="1"/>
        <v>-64.116443196993032</v>
      </c>
      <c r="I37" s="95">
        <f t="shared" si="2"/>
        <v>64.116443196993032</v>
      </c>
      <c r="J37" s="95">
        <f t="shared" si="3"/>
        <v>4110.9182882332343</v>
      </c>
    </row>
    <row r="38" spans="1:10" x14ac:dyDescent="0.25">
      <c r="A38" s="6">
        <v>21</v>
      </c>
      <c r="B38" s="93">
        <v>36770</v>
      </c>
      <c r="C38" s="94">
        <v>1099.5999999999999</v>
      </c>
      <c r="D38" s="107">
        <f t="shared" si="4"/>
        <v>834.57352910509644</v>
      </c>
      <c r="E38" s="107">
        <f t="shared" si="5"/>
        <v>-14.894569313048756</v>
      </c>
      <c r="F38" s="107">
        <f t="shared" si="6"/>
        <v>263.03193321282578</v>
      </c>
      <c r="G38" s="95">
        <f t="shared" si="7"/>
        <v>1085.3533022708737</v>
      </c>
      <c r="H38" s="95">
        <f t="shared" si="1"/>
        <v>14.246697729126254</v>
      </c>
      <c r="I38" s="95">
        <f t="shared" si="2"/>
        <v>14.246697729126254</v>
      </c>
      <c r="J38" s="95">
        <f t="shared" si="3"/>
        <v>202.96839618509117</v>
      </c>
    </row>
    <row r="39" spans="1:10" x14ac:dyDescent="0.25">
      <c r="A39" s="6">
        <v>22</v>
      </c>
      <c r="B39" s="93">
        <v>36800</v>
      </c>
      <c r="C39" s="94">
        <v>861.6</v>
      </c>
      <c r="D39" s="107">
        <f t="shared" si="4"/>
        <v>825.26446015308295</v>
      </c>
      <c r="E39" s="107">
        <f t="shared" si="5"/>
        <v>-10.984719060324071</v>
      </c>
      <c r="F39" s="107">
        <f t="shared" si="6"/>
        <v>33.728973011767209</v>
      </c>
      <c r="G39" s="95">
        <f t="shared" si="7"/>
        <v>842.98166546321534</v>
      </c>
      <c r="H39" s="95">
        <f t="shared" si="1"/>
        <v>18.618334536784687</v>
      </c>
      <c r="I39" s="95">
        <f t="shared" si="2"/>
        <v>18.618334536784687</v>
      </c>
      <c r="J39" s="95">
        <f t="shared" si="3"/>
        <v>346.64238092362945</v>
      </c>
    </row>
    <row r="40" spans="1:10" x14ac:dyDescent="0.25">
      <c r="A40" s="6">
        <v>23</v>
      </c>
      <c r="B40" s="93">
        <v>36831</v>
      </c>
      <c r="C40" s="94">
        <v>544.1</v>
      </c>
      <c r="D40" s="107">
        <f t="shared" si="4"/>
        <v>826.8210536516674</v>
      </c>
      <c r="E40" s="107">
        <f t="shared" si="5"/>
        <v>-2.2058002690881082</v>
      </c>
      <c r="F40" s="107">
        <f t="shared" si="6"/>
        <v>-288.57366617915795</v>
      </c>
      <c r="G40" s="95">
        <f t="shared" si="7"/>
        <v>502.29562480363836</v>
      </c>
      <c r="H40" s="95">
        <f t="shared" si="1"/>
        <v>41.804375196361661</v>
      </c>
      <c r="I40" s="95">
        <f t="shared" si="2"/>
        <v>41.804375196361661</v>
      </c>
      <c r="J40" s="95">
        <f t="shared" si="3"/>
        <v>1747.605785558178</v>
      </c>
    </row>
    <row r="41" spans="1:10" x14ac:dyDescent="0.25">
      <c r="A41" s="6">
        <v>24</v>
      </c>
      <c r="B41" s="93">
        <v>36861</v>
      </c>
      <c r="C41" s="94">
        <v>517.29999999999995</v>
      </c>
      <c r="D41" s="107">
        <f t="shared" si="4"/>
        <v>834.75869553998757</v>
      </c>
      <c r="E41" s="107">
        <f t="shared" si="5"/>
        <v>4.8946092410976876</v>
      </c>
      <c r="F41" s="107">
        <f t="shared" si="6"/>
        <v>-322.19230188011147</v>
      </c>
      <c r="G41" s="95">
        <f t="shared" si="7"/>
        <v>483.48852614197227</v>
      </c>
      <c r="H41" s="95">
        <f t="shared" si="1"/>
        <v>33.811473858027682</v>
      </c>
      <c r="I41" s="95">
        <f t="shared" si="2"/>
        <v>33.811473858027682</v>
      </c>
      <c r="J41" s="95">
        <f t="shared" si="3"/>
        <v>1143.2157644520894</v>
      </c>
    </row>
    <row r="42" spans="1:10" x14ac:dyDescent="0.25">
      <c r="A42" s="6">
        <v>25</v>
      </c>
      <c r="B42" s="93">
        <v>36892</v>
      </c>
      <c r="C42" s="94">
        <v>462.5</v>
      </c>
      <c r="D42" s="107">
        <f t="shared" si="4"/>
        <v>842.21808400259556</v>
      </c>
      <c r="E42" s="107">
        <f t="shared" si="5"/>
        <v>6.6899546961548992</v>
      </c>
      <c r="F42" s="107">
        <f t="shared" si="6"/>
        <v>-380.91498097263377</v>
      </c>
      <c r="G42" s="95">
        <f t="shared" si="7"/>
        <v>453.95073592829851</v>
      </c>
      <c r="H42" s="95">
        <f t="shared" si="1"/>
        <v>8.5492640717014865</v>
      </c>
      <c r="I42" s="95">
        <f t="shared" si="2"/>
        <v>8.5492640717014865</v>
      </c>
      <c r="J42" s="95">
        <f t="shared" si="3"/>
        <v>73.089916167685885</v>
      </c>
    </row>
    <row r="43" spans="1:10" x14ac:dyDescent="0.25">
      <c r="A43" s="6">
        <v>26</v>
      </c>
      <c r="B43" s="93">
        <v>36923</v>
      </c>
      <c r="C43" s="94">
        <v>541</v>
      </c>
      <c r="D43" s="107">
        <f t="shared" si="4"/>
        <v>854.96385676579348</v>
      </c>
      <c r="E43" s="107">
        <f t="shared" si="5"/>
        <v>10.929027343085014</v>
      </c>
      <c r="F43" s="107">
        <f t="shared" si="6"/>
        <v>-316.78990519708026</v>
      </c>
      <c r="G43" s="95">
        <f t="shared" si="7"/>
        <v>520.81393977652317</v>
      </c>
      <c r="H43" s="95">
        <f t="shared" si="1"/>
        <v>20.186060223476829</v>
      </c>
      <c r="I43" s="95">
        <f t="shared" si="2"/>
        <v>20.186060223476829</v>
      </c>
      <c r="J43" s="95">
        <f t="shared" si="3"/>
        <v>407.47702734583345</v>
      </c>
    </row>
    <row r="44" spans="1:10" x14ac:dyDescent="0.25">
      <c r="A44" s="6">
        <v>27</v>
      </c>
      <c r="B44" s="93">
        <v>36951</v>
      </c>
      <c r="C44" s="94">
        <v>639.6</v>
      </c>
      <c r="D44" s="107">
        <f t="shared" si="4"/>
        <v>856.24211777416531</v>
      </c>
      <c r="E44" s="107">
        <f t="shared" si="5"/>
        <v>4.1734909087857845</v>
      </c>
      <c r="F44" s="107">
        <f t="shared" si="6"/>
        <v>-212.13842681796581</v>
      </c>
      <c r="G44" s="95">
        <f t="shared" si="7"/>
        <v>671.76922111571071</v>
      </c>
      <c r="H44" s="95">
        <f t="shared" si="1"/>
        <v>-32.169221115710684</v>
      </c>
      <c r="I44" s="95">
        <f t="shared" si="2"/>
        <v>32.169221115710684</v>
      </c>
      <c r="J44" s="95">
        <f t="shared" si="3"/>
        <v>1034.858787191486</v>
      </c>
    </row>
    <row r="45" spans="1:10" x14ac:dyDescent="0.25">
      <c r="A45" s="6">
        <v>28</v>
      </c>
      <c r="B45" s="93">
        <v>36982</v>
      </c>
      <c r="C45" s="94">
        <v>902.9</v>
      </c>
      <c r="D45" s="107">
        <f t="shared" si="4"/>
        <v>865.40007172515595</v>
      </c>
      <c r="E45" s="107">
        <f t="shared" si="5"/>
        <v>7.6626150383291867</v>
      </c>
      <c r="F45" s="107">
        <f t="shared" si="6"/>
        <v>35.173845521815025</v>
      </c>
      <c r="G45" s="95">
        <f t="shared" si="7"/>
        <v>886.28512319265008</v>
      </c>
      <c r="H45" s="95">
        <f t="shared" si="1"/>
        <v>16.614876807349901</v>
      </c>
      <c r="I45" s="95">
        <f t="shared" si="2"/>
        <v>16.614876807349901</v>
      </c>
      <c r="J45" s="95">
        <f t="shared" si="3"/>
        <v>276.05413132341363</v>
      </c>
    </row>
    <row r="46" spans="1:10" x14ac:dyDescent="0.25">
      <c r="A46" s="6">
        <v>29</v>
      </c>
      <c r="B46" s="93">
        <v>37012</v>
      </c>
      <c r="C46" s="94">
        <v>976.5</v>
      </c>
      <c r="D46" s="107">
        <f t="shared" si="4"/>
        <v>867.71166002646873</v>
      </c>
      <c r="E46" s="107">
        <f t="shared" si="5"/>
        <v>3.9168963224177031</v>
      </c>
      <c r="F46" s="107">
        <f t="shared" si="6"/>
        <v>111.2854857841389</v>
      </c>
      <c r="G46" s="95">
        <f t="shared" si="7"/>
        <v>994.33675579005455</v>
      </c>
      <c r="H46" s="95">
        <f t="shared" si="1"/>
        <v>-17.836755790054553</v>
      </c>
      <c r="I46" s="95">
        <f t="shared" si="2"/>
        <v>17.836755790054553</v>
      </c>
      <c r="J46" s="95">
        <f t="shared" si="3"/>
        <v>318.14985711404466</v>
      </c>
    </row>
    <row r="47" spans="1:10" x14ac:dyDescent="0.25">
      <c r="A47" s="6">
        <v>30</v>
      </c>
      <c r="B47" s="93">
        <v>37043</v>
      </c>
      <c r="C47" s="94">
        <v>1111.9000000000001</v>
      </c>
      <c r="D47" s="107">
        <f t="shared" si="4"/>
        <v>868.00211283699286</v>
      </c>
      <c r="E47" s="107">
        <f t="shared" si="5"/>
        <v>1.378385864092202</v>
      </c>
      <c r="F47" s="107">
        <f t="shared" si="6"/>
        <v>245.59022746855757</v>
      </c>
      <c r="G47" s="95">
        <f t="shared" si="7"/>
        <v>1123.9881450396454</v>
      </c>
      <c r="H47" s="95">
        <f t="shared" si="1"/>
        <v>-12.088145039645269</v>
      </c>
      <c r="I47" s="95">
        <f t="shared" si="2"/>
        <v>12.088145039645269</v>
      </c>
      <c r="J47" s="95">
        <f t="shared" si="3"/>
        <v>146.12325049950053</v>
      </c>
    </row>
    <row r="48" spans="1:10" x14ac:dyDescent="0.25">
      <c r="A48" s="6">
        <v>31</v>
      </c>
      <c r="B48" s="93">
        <v>37073</v>
      </c>
      <c r="C48" s="94">
        <v>1261.8</v>
      </c>
      <c r="D48" s="107">
        <f t="shared" si="4"/>
        <v>875.46945084598099</v>
      </c>
      <c r="E48" s="107">
        <f t="shared" si="5"/>
        <v>5.6406523655193457</v>
      </c>
      <c r="F48" s="107">
        <f t="shared" si="6"/>
        <v>383.48903815306755</v>
      </c>
      <c r="G48" s="95">
        <f t="shared" si="7"/>
        <v>1241.5034928503469</v>
      </c>
      <c r="H48" s="95">
        <f t="shared" si="1"/>
        <v>20.296507149653053</v>
      </c>
      <c r="I48" s="95">
        <f t="shared" si="2"/>
        <v>20.296507149653053</v>
      </c>
      <c r="J48" s="95">
        <f t="shared" si="3"/>
        <v>411.94820247591747</v>
      </c>
    </row>
    <row r="49" spans="1:10" x14ac:dyDescent="0.25">
      <c r="A49" s="6">
        <v>32</v>
      </c>
      <c r="B49" s="93">
        <v>37104</v>
      </c>
      <c r="C49" s="94">
        <v>1308.0999999999999</v>
      </c>
      <c r="D49" s="107">
        <f t="shared" si="4"/>
        <v>872.52995032053366</v>
      </c>
      <c r="E49" s="107">
        <f t="shared" si="5"/>
        <v>-0.36545465815732636</v>
      </c>
      <c r="F49" s="107">
        <f t="shared" si="6"/>
        <v>439.57412102858399</v>
      </c>
      <c r="G49" s="95">
        <f t="shared" si="7"/>
        <v>1336.7005096365556</v>
      </c>
      <c r="H49" s="95">
        <f t="shared" si="1"/>
        <v>-28.600509636555671</v>
      </c>
      <c r="I49" s="95">
        <f t="shared" si="2"/>
        <v>28.600509636555671</v>
      </c>
      <c r="J49" s="95">
        <f t="shared" si="3"/>
        <v>817.98915147071375</v>
      </c>
    </row>
    <row r="50" spans="1:10" x14ac:dyDescent="0.25">
      <c r="A50" s="6">
        <v>33</v>
      </c>
      <c r="B50" s="93">
        <v>37135</v>
      </c>
      <c r="C50" s="94">
        <v>1138.5999999999999</v>
      </c>
      <c r="D50" s="107">
        <f t="shared" si="4"/>
        <v>873.18556699981559</v>
      </c>
      <c r="E50" s="107">
        <f t="shared" si="5"/>
        <v>0.34929527805015581</v>
      </c>
      <c r="F50" s="107">
        <f t="shared" si="6"/>
        <v>264.93793304271259</v>
      </c>
      <c r="G50" s="95">
        <f t="shared" si="7"/>
        <v>1135.1964288752022</v>
      </c>
      <c r="H50" s="95">
        <f t="shared" si="1"/>
        <v>3.403571124797736</v>
      </c>
      <c r="I50" s="95">
        <f t="shared" si="2"/>
        <v>3.403571124797736</v>
      </c>
      <c r="J50" s="95">
        <f t="shared" si="3"/>
        <v>11.584296401556927</v>
      </c>
    </row>
    <row r="51" spans="1:10" x14ac:dyDescent="0.25">
      <c r="A51" s="6">
        <v>34</v>
      </c>
      <c r="B51" s="93">
        <v>37165</v>
      </c>
      <c r="C51" s="94">
        <v>849.1</v>
      </c>
      <c r="D51" s="107">
        <f t="shared" si="4"/>
        <v>856.08571169097581</v>
      </c>
      <c r="E51" s="107">
        <f t="shared" si="5"/>
        <v>-11.865110132772797</v>
      </c>
      <c r="F51" s="107">
        <f t="shared" si="6"/>
        <v>1.1572252495728073</v>
      </c>
      <c r="G51" s="95">
        <f t="shared" si="7"/>
        <v>907.26383528963288</v>
      </c>
      <c r="H51" s="95">
        <f t="shared" si="1"/>
        <v>-58.163835289632857</v>
      </c>
      <c r="I51" s="95">
        <f t="shared" si="2"/>
        <v>58.163835289632857</v>
      </c>
      <c r="J51" s="95">
        <f t="shared" si="3"/>
        <v>3383.0317355995403</v>
      </c>
    </row>
    <row r="52" spans="1:10" x14ac:dyDescent="0.25">
      <c r="A52" s="6">
        <v>35</v>
      </c>
      <c r="B52" s="93">
        <v>37196</v>
      </c>
      <c r="C52" s="94">
        <v>530</v>
      </c>
      <c r="D52" s="107">
        <f t="shared" si="4"/>
        <v>836.52652094448945</v>
      </c>
      <c r="E52" s="107">
        <f t="shared" si="5"/>
        <v>-17.250966562372295</v>
      </c>
      <c r="F52" s="107">
        <f t="shared" si="6"/>
        <v>-302.93594999142317</v>
      </c>
      <c r="G52" s="95">
        <f t="shared" si="7"/>
        <v>555.64693537904509</v>
      </c>
      <c r="H52" s="95">
        <f t="shared" si="1"/>
        <v>-25.64693537904509</v>
      </c>
      <c r="I52" s="95">
        <f t="shared" si="2"/>
        <v>25.64693537904509</v>
      </c>
      <c r="J52" s="95">
        <f t="shared" si="3"/>
        <v>657.76529433691474</v>
      </c>
    </row>
    <row r="53" spans="1:10" x14ac:dyDescent="0.25">
      <c r="A53" s="6">
        <v>36</v>
      </c>
      <c r="B53" s="93">
        <v>37226</v>
      </c>
      <c r="C53" s="94">
        <v>496.8</v>
      </c>
      <c r="D53" s="107">
        <f t="shared" si="4"/>
        <v>819.19057863151545</v>
      </c>
      <c r="E53" s="107">
        <f t="shared" si="5"/>
        <v>-17.310449587793485</v>
      </c>
      <c r="F53" s="107">
        <f t="shared" si="6"/>
        <v>-322.3509232812346</v>
      </c>
      <c r="G53" s="95">
        <f t="shared" si="7"/>
        <v>497.08325250200573</v>
      </c>
      <c r="H53" s="95">
        <f t="shared" si="1"/>
        <v>-0.28325250200572327</v>
      </c>
      <c r="I53" s="95">
        <f t="shared" si="2"/>
        <v>0.28325250200572327</v>
      </c>
      <c r="J53" s="95">
        <f t="shared" si="3"/>
        <v>8.0231979892502261E-2</v>
      </c>
    </row>
    <row r="54" spans="1:10" x14ac:dyDescent="0.25">
      <c r="A54" s="6">
        <v>37</v>
      </c>
      <c r="B54" s="93">
        <v>37257</v>
      </c>
      <c r="C54" s="94">
        <v>452.1</v>
      </c>
      <c r="D54" s="107">
        <f t="shared" si="4"/>
        <v>811.22058462239545</v>
      </c>
      <c r="E54" s="107">
        <f t="shared" si="5"/>
        <v>-10.772130682722047</v>
      </c>
      <c r="F54" s="107">
        <f t="shared" si="6"/>
        <v>-363.47946389244305</v>
      </c>
      <c r="G54" s="95">
        <f t="shared" si="7"/>
        <v>420.96514807108815</v>
      </c>
      <c r="H54" s="95">
        <f t="shared" si="1"/>
        <v>31.134851928911871</v>
      </c>
      <c r="I54" s="95">
        <f t="shared" si="2"/>
        <v>31.134851928911871</v>
      </c>
      <c r="J54" s="95">
        <f t="shared" si="3"/>
        <v>969.37900463526728</v>
      </c>
    </row>
    <row r="55" spans="1:10" x14ac:dyDescent="0.25">
      <c r="A55" s="6">
        <v>38</v>
      </c>
      <c r="B55" s="93">
        <v>37288</v>
      </c>
      <c r="C55" s="94">
        <v>540.70000000000005</v>
      </c>
      <c r="D55" s="107">
        <f t="shared" si="4"/>
        <v>817.56088931689555</v>
      </c>
      <c r="E55" s="107">
        <f t="shared" si="5"/>
        <v>1.2065740813334593</v>
      </c>
      <c r="F55" s="107">
        <f t="shared" si="6"/>
        <v>-284.84669249293245</v>
      </c>
      <c r="G55" s="95">
        <f t="shared" si="7"/>
        <v>483.65854874259315</v>
      </c>
      <c r="H55" s="95">
        <f t="shared" si="1"/>
        <v>57.041451257406891</v>
      </c>
      <c r="I55" s="95">
        <f t="shared" si="2"/>
        <v>57.041451257406891</v>
      </c>
      <c r="J55" s="95">
        <f t="shared" si="3"/>
        <v>3253.7271615511263</v>
      </c>
    </row>
    <row r="56" spans="1:10" x14ac:dyDescent="0.25">
      <c r="A56" s="6">
        <v>39</v>
      </c>
      <c r="B56" s="93">
        <v>37316</v>
      </c>
      <c r="C56" s="94">
        <v>732.7</v>
      </c>
      <c r="D56" s="107">
        <f t="shared" si="4"/>
        <v>856.58875242415002</v>
      </c>
      <c r="E56" s="107">
        <f t="shared" si="5"/>
        <v>27.681476399478161</v>
      </c>
      <c r="F56" s="107">
        <f t="shared" si="6"/>
        <v>-141.53868730291313</v>
      </c>
      <c r="G56" s="95">
        <f t="shared" si="7"/>
        <v>606.62903658026312</v>
      </c>
      <c r="H56" s="95">
        <f t="shared" si="1"/>
        <v>126.07096341973693</v>
      </c>
      <c r="I56" s="95">
        <f t="shared" si="2"/>
        <v>126.07096341973693</v>
      </c>
      <c r="J56" s="95">
        <f t="shared" si="3"/>
        <v>15893.887817580646</v>
      </c>
    </row>
    <row r="57" spans="1:10" x14ac:dyDescent="0.25">
      <c r="A57" s="6">
        <v>40</v>
      </c>
      <c r="B57" s="93">
        <v>37347</v>
      </c>
      <c r="C57" s="94">
        <v>862</v>
      </c>
      <c r="D57" s="107">
        <f t="shared" si="4"/>
        <v>867.0370065199952</v>
      </c>
      <c r="E57" s="107">
        <f t="shared" si="5"/>
        <v>15.61822078693508</v>
      </c>
      <c r="F57" s="107">
        <f t="shared" si="6"/>
        <v>3.005163888366841</v>
      </c>
      <c r="G57" s="95">
        <f t="shared" si="7"/>
        <v>919.44407434544314</v>
      </c>
      <c r="H57" s="95">
        <f t="shared" si="1"/>
        <v>-57.444074345443141</v>
      </c>
      <c r="I57" s="95">
        <f t="shared" si="2"/>
        <v>57.444074345443141</v>
      </c>
      <c r="J57" s="95">
        <f t="shared" si="3"/>
        <v>3299.8216774047987</v>
      </c>
    </row>
    <row r="58" spans="1:10" x14ac:dyDescent="0.25">
      <c r="A58" s="6">
        <v>41</v>
      </c>
      <c r="B58" s="93">
        <v>37377</v>
      </c>
      <c r="C58" s="94">
        <v>1066.9000000000001</v>
      </c>
      <c r="D58" s="107">
        <f t="shared" si="4"/>
        <v>904.54301337960953</v>
      </c>
      <c r="E58" s="107">
        <f t="shared" si="5"/>
        <v>30.939671037810555</v>
      </c>
      <c r="F58" s="107">
        <f t="shared" si="6"/>
        <v>152.14268645314021</v>
      </c>
      <c r="G58" s="95">
        <f t="shared" si="7"/>
        <v>993.94071309106926</v>
      </c>
      <c r="H58" s="95">
        <f t="shared" si="1"/>
        <v>72.959286908930835</v>
      </c>
      <c r="I58" s="95">
        <f t="shared" si="2"/>
        <v>72.959286908930835</v>
      </c>
      <c r="J58" s="95">
        <f t="shared" si="3"/>
        <v>5323.0575462596862</v>
      </c>
    </row>
    <row r="59" spans="1:10" x14ac:dyDescent="0.25">
      <c r="A59" s="6">
        <v>42</v>
      </c>
      <c r="B59" s="93">
        <v>37408</v>
      </c>
      <c r="C59" s="94">
        <v>1098.3</v>
      </c>
      <c r="D59" s="107">
        <f t="shared" si="4"/>
        <v>910.65081085162672</v>
      </c>
      <c r="E59" s="107">
        <f t="shared" si="5"/>
        <v>13.557359541755195</v>
      </c>
      <c r="F59" s="107">
        <f t="shared" si="6"/>
        <v>199.23739681241011</v>
      </c>
      <c r="G59" s="95">
        <f t="shared" si="7"/>
        <v>1181.0729118859776</v>
      </c>
      <c r="H59" s="95">
        <f t="shared" si="1"/>
        <v>-82.772911885977692</v>
      </c>
      <c r="I59" s="95">
        <f t="shared" si="2"/>
        <v>82.772911885977692</v>
      </c>
      <c r="J59" s="95">
        <f t="shared" si="3"/>
        <v>6851.3549420838272</v>
      </c>
    </row>
    <row r="60" spans="1:10" x14ac:dyDescent="0.25">
      <c r="A60" s="6">
        <v>43</v>
      </c>
      <c r="B60" s="93">
        <v>37438</v>
      </c>
      <c r="C60" s="94">
        <v>1289.5</v>
      </c>
      <c r="D60" s="107">
        <f t="shared" si="4"/>
        <v>918.74900782944701</v>
      </c>
      <c r="E60" s="107">
        <f t="shared" si="5"/>
        <v>9.7359457470007644</v>
      </c>
      <c r="F60" s="107">
        <f t="shared" si="6"/>
        <v>373.29860136705594</v>
      </c>
      <c r="G60" s="95">
        <f t="shared" si="7"/>
        <v>1307.6972085464495</v>
      </c>
      <c r="H60" s="95">
        <f t="shared" si="1"/>
        <v>-18.197208546449474</v>
      </c>
      <c r="I60" s="95">
        <f t="shared" si="2"/>
        <v>18.197208546449474</v>
      </c>
      <c r="J60" s="95">
        <f t="shared" si="3"/>
        <v>331.13839888297377</v>
      </c>
    </row>
    <row r="61" spans="1:10" x14ac:dyDescent="0.25">
      <c r="A61" s="6">
        <v>44</v>
      </c>
      <c r="B61" s="93">
        <v>37469</v>
      </c>
      <c r="C61" s="94">
        <v>1387.8</v>
      </c>
      <c r="D61" s="107">
        <f t="shared" si="4"/>
        <v>934.40723119493816</v>
      </c>
      <c r="E61" s="107">
        <f t="shared" si="5"/>
        <v>13.881540079944035</v>
      </c>
      <c r="F61" s="107">
        <f t="shared" si="6"/>
        <v>450.62903924976627</v>
      </c>
      <c r="G61" s="95">
        <f t="shared" si="7"/>
        <v>1368.0590746050318</v>
      </c>
      <c r="H61" s="95">
        <f t="shared" si="1"/>
        <v>19.740925394968144</v>
      </c>
      <c r="I61" s="95">
        <f t="shared" si="2"/>
        <v>19.740925394968144</v>
      </c>
      <c r="J61" s="95">
        <f t="shared" si="3"/>
        <v>389.70413544969819</v>
      </c>
    </row>
    <row r="62" spans="1:10" x14ac:dyDescent="0.25">
      <c r="A62" s="6">
        <v>45</v>
      </c>
      <c r="B62" s="93">
        <v>37500</v>
      </c>
      <c r="C62" s="94">
        <v>1103.9000000000001</v>
      </c>
      <c r="D62" s="107">
        <f t="shared" si="4"/>
        <v>915.49075997960369</v>
      </c>
      <c r="E62" s="107">
        <f t="shared" si="5"/>
        <v>-9.0770678267509162</v>
      </c>
      <c r="F62" s="107">
        <f t="shared" si="6"/>
        <v>203.71497862485961</v>
      </c>
      <c r="G62" s="95">
        <f t="shared" si="7"/>
        <v>1213.2267043175948</v>
      </c>
      <c r="H62" s="95">
        <f t="shared" si="1"/>
        <v>-109.3267043175947</v>
      </c>
      <c r="I62" s="95">
        <f t="shared" si="2"/>
        <v>109.3267043175947</v>
      </c>
      <c r="J62" s="95">
        <f t="shared" si="3"/>
        <v>11952.328276946781</v>
      </c>
    </row>
    <row r="63" spans="1:10" x14ac:dyDescent="0.25">
      <c r="A63" s="6">
        <v>46</v>
      </c>
      <c r="B63" s="93">
        <v>37530</v>
      </c>
      <c r="C63" s="94">
        <v>942.8</v>
      </c>
      <c r="D63" s="107">
        <f t="shared" si="4"/>
        <v>916.98241693212503</v>
      </c>
      <c r="E63" s="107">
        <f t="shared" si="5"/>
        <v>-1.6789604812603383</v>
      </c>
      <c r="F63" s="107">
        <f t="shared" si="6"/>
        <v>20.885511504214499</v>
      </c>
      <c r="G63" s="95">
        <f t="shared" si="7"/>
        <v>907.57091740242561</v>
      </c>
      <c r="H63" s="95">
        <f t="shared" si="1"/>
        <v>35.229082597574347</v>
      </c>
      <c r="I63" s="95">
        <f t="shared" si="2"/>
        <v>35.229082597574347</v>
      </c>
      <c r="J63" s="95">
        <f t="shared" si="3"/>
        <v>1241.0882606667158</v>
      </c>
    </row>
    <row r="64" spans="1:10" x14ac:dyDescent="0.25">
      <c r="A64" s="6">
        <v>47</v>
      </c>
      <c r="B64" s="93">
        <v>37561</v>
      </c>
      <c r="C64" s="94">
        <v>588.4</v>
      </c>
      <c r="D64" s="107">
        <f t="shared" si="4"/>
        <v>908.11320451303209</v>
      </c>
      <c r="E64" s="107">
        <f t="shared" si="5"/>
        <v>-6.7121368377431638</v>
      </c>
      <c r="F64" s="107">
        <f t="shared" si="6"/>
        <v>-316.35775360871031</v>
      </c>
      <c r="G64" s="95">
        <f t="shared" si="7"/>
        <v>612.36750645944153</v>
      </c>
      <c r="H64" s="95">
        <f t="shared" si="1"/>
        <v>-23.967506459441552</v>
      </c>
      <c r="I64" s="95">
        <f t="shared" si="2"/>
        <v>23.967506459441552</v>
      </c>
      <c r="J64" s="95">
        <f t="shared" si="3"/>
        <v>574.44136588337255</v>
      </c>
    </row>
    <row r="65" spans="1:10" x14ac:dyDescent="0.25">
      <c r="A65" s="6">
        <v>48</v>
      </c>
      <c r="B65" s="93">
        <v>37591</v>
      </c>
      <c r="C65" s="94">
        <v>544.9</v>
      </c>
      <c r="D65" s="107">
        <f t="shared" si="4"/>
        <v>891.15602435707262</v>
      </c>
      <c r="E65" s="107">
        <f t="shared" si="5"/>
        <v>-13.883667160494573</v>
      </c>
      <c r="F65" s="107">
        <f t="shared" si="6"/>
        <v>-341.475004141905</v>
      </c>
      <c r="G65" s="95">
        <f t="shared" si="7"/>
        <v>579.05014439405431</v>
      </c>
      <c r="H65" s="95">
        <f t="shared" si="1"/>
        <v>-34.150144394054337</v>
      </c>
      <c r="I65" s="95">
        <f t="shared" si="2"/>
        <v>34.150144394054337</v>
      </c>
      <c r="J65" s="95">
        <f t="shared" si="3"/>
        <v>1166.2323621347609</v>
      </c>
    </row>
    <row r="66" spans="1:10" x14ac:dyDescent="0.25">
      <c r="A66" s="6">
        <v>49</v>
      </c>
      <c r="B66" s="93">
        <v>37622</v>
      </c>
      <c r="C66" s="94">
        <v>450.5</v>
      </c>
      <c r="D66" s="107">
        <f t="shared" si="4"/>
        <v>858.28448920533742</v>
      </c>
      <c r="E66" s="107">
        <f t="shared" si="5"/>
        <v>-27.175174754363013</v>
      </c>
      <c r="F66" s="107">
        <f t="shared" si="6"/>
        <v>-398.92348414275858</v>
      </c>
      <c r="G66" s="95">
        <f t="shared" si="7"/>
        <v>513.79289330413496</v>
      </c>
      <c r="H66" s="95">
        <f t="shared" si="1"/>
        <v>-63.292893304134964</v>
      </c>
      <c r="I66" s="95">
        <f t="shared" si="2"/>
        <v>63.292893304134964</v>
      </c>
      <c r="J66" s="95">
        <f t="shared" si="3"/>
        <v>4005.9903428086127</v>
      </c>
    </row>
    <row r="67" spans="1:10" x14ac:dyDescent="0.25">
      <c r="A67" s="6">
        <v>50</v>
      </c>
      <c r="B67" s="93">
        <v>37653</v>
      </c>
      <c r="C67" s="94">
        <v>530</v>
      </c>
      <c r="D67" s="107">
        <f t="shared" si="4"/>
        <v>826.23052786356175</v>
      </c>
      <c r="E67" s="107">
        <f t="shared" si="5"/>
        <v>-30.590325365551877</v>
      </c>
      <c r="F67" s="107">
        <f t="shared" si="6"/>
        <v>-293.95376078943588</v>
      </c>
      <c r="G67" s="95">
        <f t="shared" si="7"/>
        <v>546.2626219580419</v>
      </c>
      <c r="H67" s="95">
        <f t="shared" si="1"/>
        <v>-16.262621958041905</v>
      </c>
      <c r="I67" s="95">
        <f t="shared" si="2"/>
        <v>16.262621958041905</v>
      </c>
      <c r="J67" s="95">
        <f t="shared" si="3"/>
        <v>264.47287295018674</v>
      </c>
    </row>
    <row r="68" spans="1:10" x14ac:dyDescent="0.25">
      <c r="A68" s="6">
        <v>51</v>
      </c>
      <c r="B68" s="93">
        <v>37681</v>
      </c>
      <c r="C68" s="94">
        <v>702.1</v>
      </c>
      <c r="D68" s="107">
        <f t="shared" si="4"/>
        <v>810.03974793948078</v>
      </c>
      <c r="E68" s="107">
        <f t="shared" si="5"/>
        <v>-20.510643556522243</v>
      </c>
      <c r="F68" s="107">
        <f t="shared" si="6"/>
        <v>-114.65953581216722</v>
      </c>
      <c r="G68" s="95">
        <f t="shared" si="7"/>
        <v>654.10151519509679</v>
      </c>
      <c r="H68" s="95">
        <f t="shared" si="1"/>
        <v>47.998484804903228</v>
      </c>
      <c r="I68" s="95">
        <f t="shared" si="2"/>
        <v>47.998484804903228</v>
      </c>
      <c r="J68" s="95">
        <f t="shared" si="3"/>
        <v>2303.854543566526</v>
      </c>
    </row>
    <row r="69" spans="1:10" x14ac:dyDescent="0.25">
      <c r="A69" s="6">
        <v>52</v>
      </c>
      <c r="B69" s="93">
        <v>37712</v>
      </c>
      <c r="C69" s="94">
        <v>894.7</v>
      </c>
      <c r="D69" s="107">
        <f t="shared" si="4"/>
        <v>820.17882390156092</v>
      </c>
      <c r="E69" s="107">
        <f t="shared" si="5"/>
        <v>0.9441601064994245</v>
      </c>
      <c r="F69" s="107">
        <f t="shared" si="6"/>
        <v>60.217973656424675</v>
      </c>
      <c r="G69" s="95">
        <f t="shared" si="7"/>
        <v>792.53426827132535</v>
      </c>
      <c r="H69" s="95">
        <f t="shared" si="1"/>
        <v>102.1657317286747</v>
      </c>
      <c r="I69" s="95">
        <f t="shared" si="2"/>
        <v>102.1657317286747</v>
      </c>
      <c r="J69" s="95">
        <f t="shared" si="3"/>
        <v>10437.836739655528</v>
      </c>
    </row>
    <row r="70" spans="1:10" x14ac:dyDescent="0.25">
      <c r="A70" s="6">
        <v>53</v>
      </c>
      <c r="B70" s="93">
        <v>37742</v>
      </c>
      <c r="C70" s="94">
        <v>1056.4000000000001</v>
      </c>
      <c r="D70" s="107">
        <f t="shared" si="4"/>
        <v>846.06328286970006</v>
      </c>
      <c r="E70" s="107">
        <f t="shared" si="5"/>
        <v>18.402369309647227</v>
      </c>
      <c r="F70" s="107">
        <f t="shared" si="6"/>
        <v>198.69791099486807</v>
      </c>
      <c r="G70" s="95">
        <f t="shared" si="7"/>
        <v>973.26567046120056</v>
      </c>
      <c r="H70" s="95">
        <f t="shared" si="1"/>
        <v>83.134329538799534</v>
      </c>
      <c r="I70" s="95">
        <f t="shared" si="2"/>
        <v>83.134329538799534</v>
      </c>
      <c r="J70" s="95">
        <f t="shared" si="3"/>
        <v>6911.3167478657169</v>
      </c>
    </row>
    <row r="71" spans="1:10" x14ac:dyDescent="0.25">
      <c r="A71" s="6">
        <v>54</v>
      </c>
      <c r="B71" s="93">
        <v>37773</v>
      </c>
      <c r="C71" s="94">
        <v>1227.8</v>
      </c>
      <c r="D71" s="107">
        <f t="shared" si="4"/>
        <v>913.69473748182008</v>
      </c>
      <c r="E71" s="107">
        <f t="shared" si="5"/>
        <v>52.862729021378186</v>
      </c>
      <c r="F71" s="107">
        <f t="shared" si="6"/>
        <v>291.13168937702591</v>
      </c>
      <c r="G71" s="95">
        <f t="shared" si="7"/>
        <v>1063.7030489917574</v>
      </c>
      <c r="H71" s="95">
        <f t="shared" si="1"/>
        <v>164.09695100824251</v>
      </c>
      <c r="I71" s="95">
        <f t="shared" si="2"/>
        <v>164.09695100824251</v>
      </c>
      <c r="J71" s="95">
        <f t="shared" si="3"/>
        <v>26927.809330201544</v>
      </c>
    </row>
    <row r="72" spans="1:10" x14ac:dyDescent="0.25">
      <c r="A72" s="6">
        <v>55</v>
      </c>
      <c r="B72" s="93">
        <v>37803</v>
      </c>
      <c r="C72" s="94">
        <v>1282.9000000000001</v>
      </c>
      <c r="D72" s="107">
        <f t="shared" si="4"/>
        <v>949.47064614212195</v>
      </c>
      <c r="E72" s="107">
        <f t="shared" si="5"/>
        <v>40.901954768624762</v>
      </c>
      <c r="F72" s="107">
        <f t="shared" si="6"/>
        <v>341.4032033597137</v>
      </c>
      <c r="G72" s="95">
        <f t="shared" si="7"/>
        <v>1339.8560678702543</v>
      </c>
      <c r="H72" s="95">
        <f t="shared" si="1"/>
        <v>-56.956067870254174</v>
      </c>
      <c r="I72" s="95">
        <f t="shared" si="2"/>
        <v>56.956067870254174</v>
      </c>
      <c r="J72" s="95">
        <f t="shared" si="3"/>
        <v>3243.9936672409999</v>
      </c>
    </row>
    <row r="73" spans="1:10" x14ac:dyDescent="0.25">
      <c r="A73" s="6">
        <v>56</v>
      </c>
      <c r="B73" s="93">
        <v>37834</v>
      </c>
      <c r="C73" s="94">
        <v>1390.8</v>
      </c>
      <c r="D73" s="107">
        <f t="shared" si="4"/>
        <v>975.31210886259282</v>
      </c>
      <c r="E73" s="107">
        <f t="shared" si="5"/>
        <v>30.359610334917036</v>
      </c>
      <c r="F73" s="107">
        <f t="shared" si="6"/>
        <v>422.51612075987896</v>
      </c>
      <c r="G73" s="95">
        <f t="shared" si="7"/>
        <v>1441.001640160513</v>
      </c>
      <c r="H73" s="95">
        <f t="shared" si="1"/>
        <v>-50.20164016051308</v>
      </c>
      <c r="I73" s="95">
        <f t="shared" si="2"/>
        <v>50.20164016051308</v>
      </c>
      <c r="J73" s="95">
        <f t="shared" si="3"/>
        <v>2520.2046748056396</v>
      </c>
    </row>
    <row r="74" spans="1:10" x14ac:dyDescent="0.25">
      <c r="A74" s="6">
        <v>57</v>
      </c>
      <c r="B74" s="93">
        <v>37865</v>
      </c>
      <c r="C74" s="94">
        <v>1095.4000000000001</v>
      </c>
      <c r="D74" s="107">
        <f t="shared" si="4"/>
        <v>971.47570985079903</v>
      </c>
      <c r="E74" s="107">
        <f t="shared" si="5"/>
        <v>6.4224037922194608</v>
      </c>
      <c r="F74" s="107">
        <f t="shared" si="6"/>
        <v>139.88242784433277</v>
      </c>
      <c r="G74" s="95">
        <f t="shared" si="7"/>
        <v>1209.3866978223696</v>
      </c>
      <c r="H74" s="95">
        <f t="shared" si="1"/>
        <v>-113.98669782236948</v>
      </c>
      <c r="I74" s="95">
        <f t="shared" si="2"/>
        <v>113.98669782236948</v>
      </c>
      <c r="J74" s="95">
        <f t="shared" si="3"/>
        <v>12992.967280448171</v>
      </c>
    </row>
    <row r="75" spans="1:10" x14ac:dyDescent="0.25">
      <c r="A75" s="6">
        <v>58</v>
      </c>
      <c r="B75" s="93">
        <v>37895</v>
      </c>
      <c r="C75" s="94">
        <v>952.1</v>
      </c>
      <c r="D75" s="107">
        <f t="shared" si="4"/>
        <v>963.89302609884851</v>
      </c>
      <c r="E75" s="107">
        <f t="shared" si="5"/>
        <v>-3.3811574886995297</v>
      </c>
      <c r="F75" s="107">
        <f t="shared" si="6"/>
        <v>-5.2573185782358909</v>
      </c>
      <c r="G75" s="95">
        <f t="shared" si="7"/>
        <v>998.78362514723301</v>
      </c>
      <c r="H75" s="95">
        <f t="shared" si="1"/>
        <v>-46.683625147232988</v>
      </c>
      <c r="I75" s="95">
        <f t="shared" si="2"/>
        <v>46.683625147232988</v>
      </c>
      <c r="J75" s="95">
        <f t="shared" si="3"/>
        <v>2179.3608568873642</v>
      </c>
    </row>
    <row r="76" spans="1:10" x14ac:dyDescent="0.25">
      <c r="A76" s="6">
        <v>59</v>
      </c>
      <c r="B76" s="93">
        <v>37926</v>
      </c>
      <c r="C76" s="94">
        <v>592</v>
      </c>
      <c r="D76" s="107">
        <f t="shared" si="4"/>
        <v>944.86563410971735</v>
      </c>
      <c r="E76" s="107">
        <f t="shared" si="5"/>
        <v>-14.33352163900167</v>
      </c>
      <c r="F76" s="107">
        <f t="shared" si="6"/>
        <v>-345.56405800951597</v>
      </c>
      <c r="G76" s="95">
        <f t="shared" si="7"/>
        <v>644.15411500143864</v>
      </c>
      <c r="H76" s="95">
        <f t="shared" si="1"/>
        <v>-52.15411500143864</v>
      </c>
      <c r="I76" s="95">
        <f t="shared" si="2"/>
        <v>52.15411500143864</v>
      </c>
      <c r="J76" s="95">
        <f t="shared" si="3"/>
        <v>2720.0517115832872</v>
      </c>
    </row>
    <row r="77" spans="1:10" x14ac:dyDescent="0.25">
      <c r="A77" s="6">
        <v>60</v>
      </c>
      <c r="B77" s="93">
        <v>37956</v>
      </c>
      <c r="C77" s="94">
        <v>597.1</v>
      </c>
      <c r="D77" s="107">
        <f t="shared" si="4"/>
        <v>932.94497997207236</v>
      </c>
      <c r="E77" s="107">
        <f t="shared" si="5"/>
        <v>-12.644514388051993</v>
      </c>
      <c r="F77" s="107">
        <f t="shared" si="6"/>
        <v>-336.97098480603887</v>
      </c>
      <c r="G77" s="95">
        <f t="shared" si="7"/>
        <v>589.05710832881073</v>
      </c>
      <c r="H77" s="95">
        <f t="shared" si="1"/>
        <v>8.0428916711892953</v>
      </c>
      <c r="I77" s="95">
        <f t="shared" si="2"/>
        <v>8.0428916711892953</v>
      </c>
      <c r="J77" s="95">
        <f t="shared" si="3"/>
        <v>64.68810643448613</v>
      </c>
    </row>
    <row r="78" spans="1:10" x14ac:dyDescent="0.25">
      <c r="A78" s="6">
        <v>61</v>
      </c>
      <c r="B78" s="93">
        <v>37987</v>
      </c>
      <c r="C78" s="94">
        <v>483.8</v>
      </c>
      <c r="D78" s="107">
        <f t="shared" si="4"/>
        <v>909.02737115164177</v>
      </c>
      <c r="E78" s="107">
        <f t="shared" si="5"/>
        <v>-20.535680490717009</v>
      </c>
      <c r="F78" s="107">
        <f t="shared" si="6"/>
        <v>-419.96659374986513</v>
      </c>
      <c r="G78" s="95">
        <f t="shared" si="7"/>
        <v>521.37698144126171</v>
      </c>
      <c r="H78" s="95">
        <f t="shared" si="1"/>
        <v>-37.576981441261694</v>
      </c>
      <c r="I78" s="95">
        <f t="shared" si="2"/>
        <v>37.576981441261694</v>
      </c>
      <c r="J78" s="95">
        <f t="shared" si="3"/>
        <v>1412.0295342369257</v>
      </c>
    </row>
    <row r="79" spans="1:10" x14ac:dyDescent="0.25">
      <c r="A79" s="6">
        <v>62</v>
      </c>
      <c r="B79" s="93">
        <v>38018</v>
      </c>
      <c r="C79" s="94">
        <v>590</v>
      </c>
      <c r="D79" s="107">
        <f t="shared" si="4"/>
        <v>887.13031169947794</v>
      </c>
      <c r="E79" s="107">
        <f t="shared" si="5"/>
        <v>-21.488645763729785</v>
      </c>
      <c r="F79" s="107">
        <f t="shared" si="6"/>
        <v>-296.49500151746952</v>
      </c>
      <c r="G79" s="95">
        <f t="shared" si="7"/>
        <v>594.53792987148881</v>
      </c>
      <c r="H79" s="95">
        <f t="shared" si="1"/>
        <v>-4.5379298714888137</v>
      </c>
      <c r="I79" s="95">
        <f t="shared" si="2"/>
        <v>4.5379298714888137</v>
      </c>
      <c r="J79" s="95">
        <f t="shared" si="3"/>
        <v>20.59280751855048</v>
      </c>
    </row>
    <row r="80" spans="1:10" x14ac:dyDescent="0.25">
      <c r="A80" s="6">
        <v>63</v>
      </c>
      <c r="B80" s="93">
        <v>38047</v>
      </c>
      <c r="C80" s="94">
        <v>772.3</v>
      </c>
      <c r="D80" s="107">
        <f t="shared" si="4"/>
        <v>872.03702689867384</v>
      </c>
      <c r="E80" s="107">
        <f t="shared" si="5"/>
        <v>-17.011893089681806</v>
      </c>
      <c r="F80" s="107">
        <f t="shared" si="6"/>
        <v>-102.72152868137255</v>
      </c>
      <c r="G80" s="95">
        <f t="shared" si="7"/>
        <v>750.98213012358099</v>
      </c>
      <c r="H80" s="95">
        <f t="shared" si="1"/>
        <v>21.317869876418968</v>
      </c>
      <c r="I80" s="95">
        <f t="shared" si="2"/>
        <v>21.317869876418968</v>
      </c>
      <c r="J80" s="95">
        <f t="shared" si="3"/>
        <v>454.45157606793123</v>
      </c>
    </row>
    <row r="81" spans="1:13" x14ac:dyDescent="0.25">
      <c r="A81" s="6">
        <v>64</v>
      </c>
      <c r="B81" s="93">
        <v>38078</v>
      </c>
      <c r="C81" s="94">
        <v>998.6</v>
      </c>
      <c r="D81" s="107">
        <f t="shared" si="4"/>
        <v>880.03220156936698</v>
      </c>
      <c r="E81" s="107">
        <f t="shared" si="5"/>
        <v>0.49305434258064906</v>
      </c>
      <c r="F81" s="107">
        <f t="shared" si="6"/>
        <v>106.89783347579137</v>
      </c>
      <c r="G81" s="95">
        <f t="shared" si="7"/>
        <v>915.24310746541664</v>
      </c>
      <c r="H81" s="95">
        <f t="shared" si="1"/>
        <v>83.35689253458338</v>
      </c>
      <c r="I81" s="95">
        <f t="shared" si="2"/>
        <v>83.35689253458338</v>
      </c>
      <c r="J81" s="95">
        <f t="shared" si="3"/>
        <v>6948.3715330220821</v>
      </c>
    </row>
    <row r="82" spans="1:13" x14ac:dyDescent="0.25">
      <c r="A82" s="6">
        <v>65</v>
      </c>
      <c r="B82" s="93">
        <v>38108</v>
      </c>
      <c r="C82" s="94">
        <v>1152.7</v>
      </c>
      <c r="D82" s="107">
        <f t="shared" si="4"/>
        <v>902.56830583990291</v>
      </c>
      <c r="E82" s="107">
        <f t="shared" si="5"/>
        <v>15.923189292149345</v>
      </c>
      <c r="F82" s="107">
        <f t="shared" si="6"/>
        <v>239.84493752705134</v>
      </c>
      <c r="G82" s="95">
        <f t="shared" si="7"/>
        <v>1079.2231669068158</v>
      </c>
      <c r="H82" s="95">
        <f t="shared" si="1"/>
        <v>73.476833093184268</v>
      </c>
      <c r="I82" s="95">
        <f t="shared" si="2"/>
        <v>73.476833093184268</v>
      </c>
      <c r="J82" s="95">
        <f t="shared" si="3"/>
        <v>5398.8450014036589</v>
      </c>
    </row>
    <row r="83" spans="1:13" x14ac:dyDescent="0.25">
      <c r="A83" s="6">
        <v>66</v>
      </c>
      <c r="B83" s="93">
        <v>38139</v>
      </c>
      <c r="C83" s="94">
        <v>1208.8</v>
      </c>
      <c r="D83" s="107">
        <f t="shared" si="4"/>
        <v>918.24453977932876</v>
      </c>
      <c r="E83" s="107">
        <f t="shared" si="5"/>
        <v>15.750320545242904</v>
      </c>
      <c r="F83" s="107">
        <f t="shared" si="6"/>
        <v>290.67070605194215</v>
      </c>
      <c r="G83" s="95">
        <f t="shared" si="7"/>
        <v>1209.6231845090781</v>
      </c>
      <c r="H83" s="95">
        <f t="shared" ref="H83:H102" si="8">C83-G83</f>
        <v>-0.82318450907814622</v>
      </c>
      <c r="I83" s="95">
        <f t="shared" ref="I83:I102" si="9">ABS(H83)</f>
        <v>0.82318450907814622</v>
      </c>
      <c r="J83" s="95">
        <f t="shared" ref="J83:J102" si="10">H83^2</f>
        <v>0.67763273598622864</v>
      </c>
    </row>
    <row r="84" spans="1:13" x14ac:dyDescent="0.25">
      <c r="A84" s="6">
        <v>67</v>
      </c>
      <c r="B84" s="93">
        <v>38169</v>
      </c>
      <c r="C84" s="94">
        <v>1359</v>
      </c>
      <c r="D84" s="107">
        <f t="shared" ref="D84:D89" si="11">$B$1*(C84-F72)+(1-$B$1)*(D83+E83)</f>
        <v>959.07544121928595</v>
      </c>
      <c r="E84" s="107">
        <f t="shared" ref="E84:E89" si="12">B$2*(D84-D83)+(1-B$2)*E83</f>
        <v>33.306727171542903</v>
      </c>
      <c r="F84" s="107">
        <f t="shared" ref="F84:F89" si="13">B$3*(C84-D84)+(1-B$3)*F72</f>
        <v>388.22028769651399</v>
      </c>
      <c r="G84" s="95">
        <f t="shared" ref="G84:G89" si="14">D83+E83+F72</f>
        <v>1275.3980636842853</v>
      </c>
      <c r="H84" s="95">
        <f t="shared" si="8"/>
        <v>83.601936315714738</v>
      </c>
      <c r="I84" s="95">
        <f t="shared" si="9"/>
        <v>83.601936315714738</v>
      </c>
      <c r="J84" s="95">
        <f t="shared" si="10"/>
        <v>6989.283755736823</v>
      </c>
      <c r="L84" s="110" t="s">
        <v>165</v>
      </c>
    </row>
    <row r="85" spans="1:13" x14ac:dyDescent="0.25">
      <c r="A85" s="6">
        <v>68</v>
      </c>
      <c r="B85" s="93">
        <v>38200</v>
      </c>
      <c r="C85" s="94">
        <v>1465.6</v>
      </c>
      <c r="D85" s="107">
        <f t="shared" si="11"/>
        <v>1007.5926816456164</v>
      </c>
      <c r="E85" s="107">
        <f t="shared" si="12"/>
        <v>43.95408644989417</v>
      </c>
      <c r="F85" s="107">
        <f t="shared" si="13"/>
        <v>450.9090788354826</v>
      </c>
      <c r="G85" s="95">
        <f t="shared" si="14"/>
        <v>1414.8982891507078</v>
      </c>
      <c r="H85" s="95">
        <f t="shared" si="8"/>
        <v>50.701710849292112</v>
      </c>
      <c r="I85" s="95">
        <f t="shared" si="9"/>
        <v>50.701710849292112</v>
      </c>
      <c r="J85" s="95">
        <f t="shared" si="10"/>
        <v>2570.6634830452253</v>
      </c>
      <c r="L85" s="108" t="s">
        <v>166</v>
      </c>
      <c r="M85" s="109">
        <v>2290.2468158301185</v>
      </c>
    </row>
    <row r="86" spans="1:13" x14ac:dyDescent="0.25">
      <c r="A86" s="6">
        <v>69</v>
      </c>
      <c r="B86" s="93">
        <v>38231</v>
      </c>
      <c r="C86" s="94">
        <v>1184.4000000000001</v>
      </c>
      <c r="D86" s="107">
        <f t="shared" si="11"/>
        <v>1049.4380093135574</v>
      </c>
      <c r="E86" s="107">
        <f t="shared" si="12"/>
        <v>42.477955302526937</v>
      </c>
      <c r="F86" s="107">
        <f t="shared" si="13"/>
        <v>135.94607811802072</v>
      </c>
      <c r="G86" s="95">
        <f t="shared" si="14"/>
        <v>1191.4291959398433</v>
      </c>
      <c r="H86" s="95">
        <f t="shared" si="8"/>
        <v>-7.0291959398432482</v>
      </c>
      <c r="I86" s="95">
        <f t="shared" si="9"/>
        <v>7.0291959398432482</v>
      </c>
      <c r="J86" s="95">
        <f t="shared" si="10"/>
        <v>49.409595560708809</v>
      </c>
      <c r="L86" s="108" t="s">
        <v>142</v>
      </c>
      <c r="M86" s="109">
        <v>38.263669064589003</v>
      </c>
    </row>
    <row r="87" spans="1:13" x14ac:dyDescent="0.25">
      <c r="A87" s="6">
        <v>70</v>
      </c>
      <c r="B87" s="93">
        <v>38261</v>
      </c>
      <c r="C87" s="94">
        <v>1035.9000000000001</v>
      </c>
      <c r="D87" s="107">
        <f t="shared" si="11"/>
        <v>1076.6883708047299</v>
      </c>
      <c r="E87" s="107">
        <f t="shared" si="12"/>
        <v>31.81863963457883</v>
      </c>
      <c r="F87" s="107">
        <f t="shared" si="13"/>
        <v>-33.682160359430995</v>
      </c>
      <c r="G87" s="95">
        <f t="shared" si="14"/>
        <v>1086.6586460378483</v>
      </c>
      <c r="H87" s="95">
        <f t="shared" si="8"/>
        <v>-50.758646037848166</v>
      </c>
      <c r="I87" s="95">
        <f t="shared" si="9"/>
        <v>50.758646037848166</v>
      </c>
      <c r="J87" s="95">
        <f t="shared" si="10"/>
        <v>2576.4401475955592</v>
      </c>
      <c r="L87" s="88"/>
    </row>
    <row r="88" spans="1:13" x14ac:dyDescent="0.25">
      <c r="A88" s="6">
        <v>71</v>
      </c>
      <c r="B88" s="93">
        <v>38292</v>
      </c>
      <c r="C88" s="94">
        <v>664.7</v>
      </c>
      <c r="D88" s="107">
        <f t="shared" si="11"/>
        <v>1079.0341247103709</v>
      </c>
      <c r="E88" s="107">
        <f t="shared" si="12"/>
        <v>11.187619624322354</v>
      </c>
      <c r="F88" s="107">
        <f t="shared" si="13"/>
        <v>-400.58011137019986</v>
      </c>
      <c r="G88" s="95">
        <f t="shared" si="14"/>
        <v>762.94295242979274</v>
      </c>
      <c r="H88" s="95">
        <f t="shared" si="8"/>
        <v>-98.242952429792695</v>
      </c>
      <c r="I88" s="95">
        <f t="shared" si="9"/>
        <v>98.242952429792695</v>
      </c>
      <c r="J88" s="95">
        <f t="shared" si="10"/>
        <v>9651.6777021225098</v>
      </c>
      <c r="L88" s="88"/>
    </row>
    <row r="89" spans="1:13" x14ac:dyDescent="0.25">
      <c r="A89" s="6">
        <v>72</v>
      </c>
      <c r="B89" s="93">
        <v>38322</v>
      </c>
      <c r="C89" s="94">
        <v>622.1</v>
      </c>
      <c r="D89" s="107">
        <f t="shared" si="11"/>
        <v>1050.8765164760971</v>
      </c>
      <c r="E89" s="107">
        <f t="shared" si="12"/>
        <v>-16.354039876694927</v>
      </c>
      <c r="F89" s="107">
        <f t="shared" si="13"/>
        <v>-410.41541014208542</v>
      </c>
      <c r="G89" s="95">
        <f t="shared" si="14"/>
        <v>753.2507595286545</v>
      </c>
      <c r="H89" s="95">
        <f t="shared" si="8"/>
        <v>-131.15075952865448</v>
      </c>
      <c r="I89" s="95">
        <f t="shared" si="9"/>
        <v>131.15075952865448</v>
      </c>
      <c r="J89" s="95">
        <f t="shared" si="10"/>
        <v>17200.521724942952</v>
      </c>
      <c r="L89" s="88"/>
    </row>
    <row r="90" spans="1:13" ht="15.75" thickBot="1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L90" s="88"/>
    </row>
    <row r="91" spans="1:13" x14ac:dyDescent="0.25">
      <c r="A91" s="69">
        <v>73</v>
      </c>
      <c r="B91" s="96">
        <v>38353</v>
      </c>
      <c r="C91" s="97">
        <v>540.5</v>
      </c>
      <c r="D91" s="69"/>
      <c r="E91" s="69"/>
      <c r="F91" s="69"/>
      <c r="G91" s="69">
        <f t="shared" ref="G91:G102" si="15">D$89+E$89*(A91-A$89)+F78</f>
        <v>614.55588284953706</v>
      </c>
      <c r="H91" s="98">
        <f t="shared" si="8"/>
        <v>-74.055882849537056</v>
      </c>
      <c r="I91" s="98">
        <f t="shared" si="9"/>
        <v>74.055882849537056</v>
      </c>
      <c r="J91" s="98">
        <f t="shared" si="10"/>
        <v>5484.2737846243563</v>
      </c>
      <c r="L91" s="110" t="s">
        <v>167</v>
      </c>
    </row>
    <row r="92" spans="1:13" x14ac:dyDescent="0.25">
      <c r="A92" s="69">
        <v>74</v>
      </c>
      <c r="B92" s="96">
        <v>38384</v>
      </c>
      <c r="C92" s="97">
        <v>612.1</v>
      </c>
      <c r="D92" s="69"/>
      <c r="E92" s="69"/>
      <c r="F92" s="69"/>
      <c r="G92" s="69">
        <f t="shared" si="15"/>
        <v>721.67343520523775</v>
      </c>
      <c r="H92" s="98">
        <f t="shared" si="8"/>
        <v>-109.57343520523773</v>
      </c>
      <c r="I92" s="98">
        <f t="shared" si="9"/>
        <v>109.57343520523773</v>
      </c>
      <c r="J92" s="98">
        <f t="shared" si="10"/>
        <v>12006.33770267643</v>
      </c>
      <c r="L92" s="108" t="s">
        <v>166</v>
      </c>
      <c r="M92" s="109">
        <v>28775.144726952989</v>
      </c>
    </row>
    <row r="93" spans="1:13" x14ac:dyDescent="0.25">
      <c r="A93" s="69">
        <v>75</v>
      </c>
      <c r="B93" s="96">
        <v>38412</v>
      </c>
      <c r="C93" s="97">
        <v>783.6</v>
      </c>
      <c r="D93" s="69"/>
      <c r="E93" s="69"/>
      <c r="F93" s="69"/>
      <c r="G93" s="69">
        <f t="shared" si="15"/>
        <v>899.09286816463975</v>
      </c>
      <c r="H93" s="98">
        <f t="shared" si="8"/>
        <v>-115.49286816463973</v>
      </c>
      <c r="I93" s="98">
        <f t="shared" si="9"/>
        <v>115.49286816463973</v>
      </c>
      <c r="J93" s="98">
        <f t="shared" si="10"/>
        <v>13338.602596894854</v>
      </c>
      <c r="L93" s="108" t="s">
        <v>142</v>
      </c>
      <c r="M93" s="109">
        <v>146.82376640270789</v>
      </c>
    </row>
    <row r="94" spans="1:13" x14ac:dyDescent="0.25">
      <c r="A94" s="69">
        <v>76</v>
      </c>
      <c r="B94" s="96">
        <v>38443</v>
      </c>
      <c r="C94" s="97">
        <v>930.8</v>
      </c>
      <c r="D94" s="69"/>
      <c r="E94" s="69"/>
      <c r="F94" s="69"/>
      <c r="G94" s="69">
        <f t="shared" si="15"/>
        <v>1092.3581904451089</v>
      </c>
      <c r="H94" s="98">
        <f t="shared" si="8"/>
        <v>-161.55819044510895</v>
      </c>
      <c r="I94" s="98">
        <f t="shared" si="9"/>
        <v>161.55819044510895</v>
      </c>
      <c r="J94" s="98">
        <f t="shared" si="10"/>
        <v>26101.048899898091</v>
      </c>
    </row>
    <row r="95" spans="1:13" x14ac:dyDescent="0.25">
      <c r="A95" s="69">
        <v>77</v>
      </c>
      <c r="B95" s="96">
        <v>38473</v>
      </c>
      <c r="C95" s="97">
        <v>1233.3</v>
      </c>
      <c r="D95" s="69"/>
      <c r="E95" s="69"/>
      <c r="F95" s="69"/>
      <c r="G95" s="69">
        <f t="shared" si="15"/>
        <v>1208.9512546196738</v>
      </c>
      <c r="H95" s="98">
        <f t="shared" si="8"/>
        <v>24.348745380326136</v>
      </c>
      <c r="I95" s="98">
        <f t="shared" si="9"/>
        <v>24.348745380326136</v>
      </c>
      <c r="J95" s="98">
        <f t="shared" si="10"/>
        <v>592.86140159595334</v>
      </c>
    </row>
    <row r="96" spans="1:13" x14ac:dyDescent="0.25">
      <c r="A96" s="69">
        <v>78</v>
      </c>
      <c r="B96" s="96">
        <v>38504</v>
      </c>
      <c r="C96" s="97">
        <v>1288.8</v>
      </c>
      <c r="D96" s="69"/>
      <c r="E96" s="69"/>
      <c r="F96" s="69"/>
      <c r="G96" s="69">
        <f t="shared" si="15"/>
        <v>1243.4229832678698</v>
      </c>
      <c r="H96" s="98">
        <f t="shared" si="8"/>
        <v>45.377016732130187</v>
      </c>
      <c r="I96" s="98">
        <f t="shared" si="9"/>
        <v>45.377016732130187</v>
      </c>
      <c r="J96" s="98">
        <f t="shared" si="10"/>
        <v>2059.073647508023</v>
      </c>
    </row>
    <row r="97" spans="1:10" x14ac:dyDescent="0.25">
      <c r="A97" s="69">
        <v>79</v>
      </c>
      <c r="B97" s="96">
        <v>38534</v>
      </c>
      <c r="C97" s="97">
        <v>1488.6</v>
      </c>
      <c r="D97" s="69"/>
      <c r="E97" s="69"/>
      <c r="F97" s="69"/>
      <c r="G97" s="69">
        <f t="shared" si="15"/>
        <v>1324.6185250357466</v>
      </c>
      <c r="H97" s="98">
        <f t="shared" si="8"/>
        <v>163.98147496425327</v>
      </c>
      <c r="I97" s="98">
        <f t="shared" si="9"/>
        <v>163.98147496425327</v>
      </c>
      <c r="J97" s="98">
        <f t="shared" si="10"/>
        <v>26889.924131452022</v>
      </c>
    </row>
    <row r="98" spans="1:10" x14ac:dyDescent="0.25">
      <c r="A98" s="69">
        <v>80</v>
      </c>
      <c r="B98" s="96">
        <v>38565</v>
      </c>
      <c r="C98" s="97">
        <v>1578.1</v>
      </c>
      <c r="D98" s="69"/>
      <c r="E98" s="69"/>
      <c r="F98" s="69"/>
      <c r="G98" s="69">
        <f t="shared" si="15"/>
        <v>1370.9532762980202</v>
      </c>
      <c r="H98" s="98">
        <f t="shared" si="8"/>
        <v>207.14672370197968</v>
      </c>
      <c r="I98" s="98">
        <f t="shared" si="9"/>
        <v>207.14672370197968</v>
      </c>
      <c r="J98" s="98">
        <f t="shared" si="10"/>
        <v>42909.765140464311</v>
      </c>
    </row>
    <row r="99" spans="1:10" x14ac:dyDescent="0.25">
      <c r="A99" s="69">
        <v>81</v>
      </c>
      <c r="B99" s="96">
        <v>38596</v>
      </c>
      <c r="C99" s="97">
        <v>1281.9000000000001</v>
      </c>
      <c r="D99" s="69"/>
      <c r="E99" s="69"/>
      <c r="F99" s="69"/>
      <c r="G99" s="69">
        <f t="shared" si="15"/>
        <v>1039.6362357038636</v>
      </c>
      <c r="H99" s="98">
        <f t="shared" si="8"/>
        <v>242.26376429613651</v>
      </c>
      <c r="I99" s="98">
        <f t="shared" si="9"/>
        <v>242.26376429613651</v>
      </c>
      <c r="J99" s="98">
        <f t="shared" si="10"/>
        <v>58691.731490933991</v>
      </c>
    </row>
    <row r="100" spans="1:10" x14ac:dyDescent="0.25">
      <c r="A100" s="69">
        <v>82</v>
      </c>
      <c r="B100" s="96">
        <v>38626</v>
      </c>
      <c r="C100" s="97">
        <v>1096.5999999999999</v>
      </c>
      <c r="D100" s="69"/>
      <c r="E100" s="69"/>
      <c r="F100" s="69"/>
      <c r="G100" s="69">
        <f t="shared" si="15"/>
        <v>853.65395734971685</v>
      </c>
      <c r="H100" s="98">
        <f t="shared" si="8"/>
        <v>242.94604265028306</v>
      </c>
      <c r="I100" s="98">
        <f t="shared" si="9"/>
        <v>242.94604265028306</v>
      </c>
      <c r="J100" s="98">
        <f t="shared" si="10"/>
        <v>59022.77963943316</v>
      </c>
    </row>
    <row r="101" spans="1:10" x14ac:dyDescent="0.25">
      <c r="A101" s="69">
        <v>83</v>
      </c>
      <c r="B101" s="96">
        <v>38657</v>
      </c>
      <c r="C101" s="97">
        <v>682.6</v>
      </c>
      <c r="D101" s="69"/>
      <c r="E101" s="69"/>
      <c r="F101" s="69"/>
      <c r="G101" s="69">
        <f t="shared" si="15"/>
        <v>470.40196646225303</v>
      </c>
      <c r="H101" s="98">
        <f t="shared" si="8"/>
        <v>212.19803353774699</v>
      </c>
      <c r="I101" s="98">
        <f t="shared" si="9"/>
        <v>212.19803353774699</v>
      </c>
      <c r="J101" s="98">
        <f t="shared" si="10"/>
        <v>45028.005437286796</v>
      </c>
    </row>
    <row r="102" spans="1:10" x14ac:dyDescent="0.25">
      <c r="A102" s="69">
        <v>84</v>
      </c>
      <c r="B102" s="96">
        <v>38687</v>
      </c>
      <c r="C102" s="97">
        <v>635.9</v>
      </c>
      <c r="D102" s="69"/>
      <c r="E102" s="69"/>
      <c r="F102" s="69"/>
      <c r="G102" s="69">
        <f t="shared" si="15"/>
        <v>444.2126278136725</v>
      </c>
      <c r="H102" s="98">
        <f t="shared" si="8"/>
        <v>191.68737218632748</v>
      </c>
      <c r="I102" s="98">
        <f t="shared" si="9"/>
        <v>191.68737218632748</v>
      </c>
      <c r="J102" s="98">
        <f t="shared" si="10"/>
        <v>36744.048655699633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workbookViewId="0">
      <selection activeCell="N24" sqref="N24"/>
    </sheetView>
  </sheetViews>
  <sheetFormatPr baseColWidth="10" defaultRowHeight="15.75" x14ac:dyDescent="0.25"/>
  <cols>
    <col min="1" max="1" width="12.5703125" style="22" customWidth="1"/>
    <col min="2" max="2" width="5.5703125" style="22" bestFit="1" customWidth="1"/>
    <col min="3" max="3" width="17.5703125" style="22" bestFit="1" customWidth="1"/>
    <col min="4" max="4" width="12.140625" style="22" bestFit="1" customWidth="1"/>
    <col min="5" max="5" width="17" style="22" bestFit="1" customWidth="1"/>
    <col min="6" max="6" width="13" style="22" bestFit="1" customWidth="1"/>
    <col min="7" max="7" width="13.85546875" style="22" bestFit="1" customWidth="1"/>
    <col min="8" max="8" width="13.7109375" style="22" bestFit="1" customWidth="1"/>
    <col min="9" max="9" width="15.28515625" style="22" customWidth="1"/>
    <col min="10" max="10" width="13.7109375" style="22" customWidth="1"/>
    <col min="11" max="11" width="16.140625" style="22" bestFit="1" customWidth="1"/>
    <col min="12" max="12" width="15.140625" style="22" bestFit="1" customWidth="1"/>
    <col min="13" max="13" width="22.28515625" style="22" customWidth="1"/>
    <col min="14" max="14" width="16.28515625" style="22" bestFit="1" customWidth="1"/>
    <col min="15" max="256" width="9.140625" style="22" customWidth="1"/>
    <col min="257" max="257" width="12.5703125" style="22" customWidth="1"/>
    <col min="258" max="258" width="5.5703125" style="22" bestFit="1" customWidth="1"/>
    <col min="259" max="259" width="17.5703125" style="22" bestFit="1" customWidth="1"/>
    <col min="260" max="260" width="12.140625" style="22" bestFit="1" customWidth="1"/>
    <col min="261" max="261" width="17" style="22" bestFit="1" customWidth="1"/>
    <col min="262" max="262" width="13" style="22" bestFit="1" customWidth="1"/>
    <col min="263" max="263" width="13.85546875" style="22" bestFit="1" customWidth="1"/>
    <col min="264" max="264" width="13.7109375" style="22" bestFit="1" customWidth="1"/>
    <col min="265" max="265" width="15.28515625" style="22" customWidth="1"/>
    <col min="266" max="266" width="13.7109375" style="22" customWidth="1"/>
    <col min="267" max="267" width="16.140625" style="22" bestFit="1" customWidth="1"/>
    <col min="268" max="268" width="15.140625" style="22" bestFit="1" customWidth="1"/>
    <col min="269" max="269" width="22.28515625" style="22" customWidth="1"/>
    <col min="270" max="270" width="16.28515625" style="22" bestFit="1" customWidth="1"/>
    <col min="271" max="512" width="9.140625" style="22" customWidth="1"/>
    <col min="513" max="513" width="12.5703125" style="22" customWidth="1"/>
    <col min="514" max="514" width="5.5703125" style="22" bestFit="1" customWidth="1"/>
    <col min="515" max="515" width="17.5703125" style="22" bestFit="1" customWidth="1"/>
    <col min="516" max="516" width="12.140625" style="22" bestFit="1" customWidth="1"/>
    <col min="517" max="517" width="17" style="22" bestFit="1" customWidth="1"/>
    <col min="518" max="518" width="13" style="22" bestFit="1" customWidth="1"/>
    <col min="519" max="519" width="13.85546875" style="22" bestFit="1" customWidth="1"/>
    <col min="520" max="520" width="13.7109375" style="22" bestFit="1" customWidth="1"/>
    <col min="521" max="521" width="15.28515625" style="22" customWidth="1"/>
    <col min="522" max="522" width="13.7109375" style="22" customWidth="1"/>
    <col min="523" max="523" width="16.140625" style="22" bestFit="1" customWidth="1"/>
    <col min="524" max="524" width="15.140625" style="22" bestFit="1" customWidth="1"/>
    <col min="525" max="525" width="22.28515625" style="22" customWidth="1"/>
    <col min="526" max="526" width="16.28515625" style="22" bestFit="1" customWidth="1"/>
    <col min="527" max="768" width="9.140625" style="22" customWidth="1"/>
    <col min="769" max="769" width="12.5703125" style="22" customWidth="1"/>
    <col min="770" max="770" width="5.5703125" style="22" bestFit="1" customWidth="1"/>
    <col min="771" max="771" width="17.5703125" style="22" bestFit="1" customWidth="1"/>
    <col min="772" max="772" width="12.140625" style="22" bestFit="1" customWidth="1"/>
    <col min="773" max="773" width="17" style="22" bestFit="1" customWidth="1"/>
    <col min="774" max="774" width="13" style="22" bestFit="1" customWidth="1"/>
    <col min="775" max="775" width="13.85546875" style="22" bestFit="1" customWidth="1"/>
    <col min="776" max="776" width="13.7109375" style="22" bestFit="1" customWidth="1"/>
    <col min="777" max="777" width="15.28515625" style="22" customWidth="1"/>
    <col min="778" max="778" width="13.7109375" style="22" customWidth="1"/>
    <col min="779" max="779" width="16.140625" style="22" bestFit="1" customWidth="1"/>
    <col min="780" max="780" width="15.140625" style="22" bestFit="1" customWidth="1"/>
    <col min="781" max="781" width="22.28515625" style="22" customWidth="1"/>
    <col min="782" max="782" width="16.28515625" style="22" bestFit="1" customWidth="1"/>
    <col min="783" max="1024" width="9.140625" style="22" customWidth="1"/>
    <col min="1025" max="1025" width="12.5703125" style="22" customWidth="1"/>
    <col min="1026" max="1026" width="5.5703125" style="22" bestFit="1" customWidth="1"/>
    <col min="1027" max="1027" width="17.5703125" style="22" bestFit="1" customWidth="1"/>
    <col min="1028" max="1028" width="12.140625" style="22" bestFit="1" customWidth="1"/>
    <col min="1029" max="1029" width="17" style="22" bestFit="1" customWidth="1"/>
    <col min="1030" max="1030" width="13" style="22" bestFit="1" customWidth="1"/>
    <col min="1031" max="1031" width="13.85546875" style="22" bestFit="1" customWidth="1"/>
    <col min="1032" max="1032" width="13.7109375" style="22" bestFit="1" customWidth="1"/>
    <col min="1033" max="1033" width="15.28515625" style="22" customWidth="1"/>
    <col min="1034" max="1034" width="13.7109375" style="22" customWidth="1"/>
    <col min="1035" max="1035" width="16.140625" style="22" bestFit="1" customWidth="1"/>
    <col min="1036" max="1036" width="15.140625" style="22" bestFit="1" customWidth="1"/>
    <col min="1037" max="1037" width="22.28515625" style="22" customWidth="1"/>
    <col min="1038" max="1038" width="16.28515625" style="22" bestFit="1" customWidth="1"/>
    <col min="1039" max="1280" width="9.140625" style="22" customWidth="1"/>
    <col min="1281" max="1281" width="12.5703125" style="22" customWidth="1"/>
    <col min="1282" max="1282" width="5.5703125" style="22" bestFit="1" customWidth="1"/>
    <col min="1283" max="1283" width="17.5703125" style="22" bestFit="1" customWidth="1"/>
    <col min="1284" max="1284" width="12.140625" style="22" bestFit="1" customWidth="1"/>
    <col min="1285" max="1285" width="17" style="22" bestFit="1" customWidth="1"/>
    <col min="1286" max="1286" width="13" style="22" bestFit="1" customWidth="1"/>
    <col min="1287" max="1287" width="13.85546875" style="22" bestFit="1" customWidth="1"/>
    <col min="1288" max="1288" width="13.7109375" style="22" bestFit="1" customWidth="1"/>
    <col min="1289" max="1289" width="15.28515625" style="22" customWidth="1"/>
    <col min="1290" max="1290" width="13.7109375" style="22" customWidth="1"/>
    <col min="1291" max="1291" width="16.140625" style="22" bestFit="1" customWidth="1"/>
    <col min="1292" max="1292" width="15.140625" style="22" bestFit="1" customWidth="1"/>
    <col min="1293" max="1293" width="22.28515625" style="22" customWidth="1"/>
    <col min="1294" max="1294" width="16.28515625" style="22" bestFit="1" customWidth="1"/>
    <col min="1295" max="1536" width="9.140625" style="22" customWidth="1"/>
    <col min="1537" max="1537" width="12.5703125" style="22" customWidth="1"/>
    <col min="1538" max="1538" width="5.5703125" style="22" bestFit="1" customWidth="1"/>
    <col min="1539" max="1539" width="17.5703125" style="22" bestFit="1" customWidth="1"/>
    <col min="1540" max="1540" width="12.140625" style="22" bestFit="1" customWidth="1"/>
    <col min="1541" max="1541" width="17" style="22" bestFit="1" customWidth="1"/>
    <col min="1542" max="1542" width="13" style="22" bestFit="1" customWidth="1"/>
    <col min="1543" max="1543" width="13.85546875" style="22" bestFit="1" customWidth="1"/>
    <col min="1544" max="1544" width="13.7109375" style="22" bestFit="1" customWidth="1"/>
    <col min="1545" max="1545" width="15.28515625" style="22" customWidth="1"/>
    <col min="1546" max="1546" width="13.7109375" style="22" customWidth="1"/>
    <col min="1547" max="1547" width="16.140625" style="22" bestFit="1" customWidth="1"/>
    <col min="1548" max="1548" width="15.140625" style="22" bestFit="1" customWidth="1"/>
    <col min="1549" max="1549" width="22.28515625" style="22" customWidth="1"/>
    <col min="1550" max="1550" width="16.28515625" style="22" bestFit="1" customWidth="1"/>
    <col min="1551" max="1792" width="9.140625" style="22" customWidth="1"/>
    <col min="1793" max="1793" width="12.5703125" style="22" customWidth="1"/>
    <col min="1794" max="1794" width="5.5703125" style="22" bestFit="1" customWidth="1"/>
    <col min="1795" max="1795" width="17.5703125" style="22" bestFit="1" customWidth="1"/>
    <col min="1796" max="1796" width="12.140625" style="22" bestFit="1" customWidth="1"/>
    <col min="1797" max="1797" width="17" style="22" bestFit="1" customWidth="1"/>
    <col min="1798" max="1798" width="13" style="22" bestFit="1" customWidth="1"/>
    <col min="1799" max="1799" width="13.85546875" style="22" bestFit="1" customWidth="1"/>
    <col min="1800" max="1800" width="13.7109375" style="22" bestFit="1" customWidth="1"/>
    <col min="1801" max="1801" width="15.28515625" style="22" customWidth="1"/>
    <col min="1802" max="1802" width="13.7109375" style="22" customWidth="1"/>
    <col min="1803" max="1803" width="16.140625" style="22" bestFit="1" customWidth="1"/>
    <col min="1804" max="1804" width="15.140625" style="22" bestFit="1" customWidth="1"/>
    <col min="1805" max="1805" width="22.28515625" style="22" customWidth="1"/>
    <col min="1806" max="1806" width="16.28515625" style="22" bestFit="1" customWidth="1"/>
    <col min="1807" max="2048" width="9.140625" style="22" customWidth="1"/>
    <col min="2049" max="2049" width="12.5703125" style="22" customWidth="1"/>
    <col min="2050" max="2050" width="5.5703125" style="22" bestFit="1" customWidth="1"/>
    <col min="2051" max="2051" width="17.5703125" style="22" bestFit="1" customWidth="1"/>
    <col min="2052" max="2052" width="12.140625" style="22" bestFit="1" customWidth="1"/>
    <col min="2053" max="2053" width="17" style="22" bestFit="1" customWidth="1"/>
    <col min="2054" max="2054" width="13" style="22" bestFit="1" customWidth="1"/>
    <col min="2055" max="2055" width="13.85546875" style="22" bestFit="1" customWidth="1"/>
    <col min="2056" max="2056" width="13.7109375" style="22" bestFit="1" customWidth="1"/>
    <col min="2057" max="2057" width="15.28515625" style="22" customWidth="1"/>
    <col min="2058" max="2058" width="13.7109375" style="22" customWidth="1"/>
    <col min="2059" max="2059" width="16.140625" style="22" bestFit="1" customWidth="1"/>
    <col min="2060" max="2060" width="15.140625" style="22" bestFit="1" customWidth="1"/>
    <col min="2061" max="2061" width="22.28515625" style="22" customWidth="1"/>
    <col min="2062" max="2062" width="16.28515625" style="22" bestFit="1" customWidth="1"/>
    <col min="2063" max="2304" width="9.140625" style="22" customWidth="1"/>
    <col min="2305" max="2305" width="12.5703125" style="22" customWidth="1"/>
    <col min="2306" max="2306" width="5.5703125" style="22" bestFit="1" customWidth="1"/>
    <col min="2307" max="2307" width="17.5703125" style="22" bestFit="1" customWidth="1"/>
    <col min="2308" max="2308" width="12.140625" style="22" bestFit="1" customWidth="1"/>
    <col min="2309" max="2309" width="17" style="22" bestFit="1" customWidth="1"/>
    <col min="2310" max="2310" width="13" style="22" bestFit="1" customWidth="1"/>
    <col min="2311" max="2311" width="13.85546875" style="22" bestFit="1" customWidth="1"/>
    <col min="2312" max="2312" width="13.7109375" style="22" bestFit="1" customWidth="1"/>
    <col min="2313" max="2313" width="15.28515625" style="22" customWidth="1"/>
    <col min="2314" max="2314" width="13.7109375" style="22" customWidth="1"/>
    <col min="2315" max="2315" width="16.140625" style="22" bestFit="1" customWidth="1"/>
    <col min="2316" max="2316" width="15.140625" style="22" bestFit="1" customWidth="1"/>
    <col min="2317" max="2317" width="22.28515625" style="22" customWidth="1"/>
    <col min="2318" max="2318" width="16.28515625" style="22" bestFit="1" customWidth="1"/>
    <col min="2319" max="2560" width="9.140625" style="22" customWidth="1"/>
    <col min="2561" max="2561" width="12.5703125" style="22" customWidth="1"/>
    <col min="2562" max="2562" width="5.5703125" style="22" bestFit="1" customWidth="1"/>
    <col min="2563" max="2563" width="17.5703125" style="22" bestFit="1" customWidth="1"/>
    <col min="2564" max="2564" width="12.140625" style="22" bestFit="1" customWidth="1"/>
    <col min="2565" max="2565" width="17" style="22" bestFit="1" customWidth="1"/>
    <col min="2566" max="2566" width="13" style="22" bestFit="1" customWidth="1"/>
    <col min="2567" max="2567" width="13.85546875" style="22" bestFit="1" customWidth="1"/>
    <col min="2568" max="2568" width="13.7109375" style="22" bestFit="1" customWidth="1"/>
    <col min="2569" max="2569" width="15.28515625" style="22" customWidth="1"/>
    <col min="2570" max="2570" width="13.7109375" style="22" customWidth="1"/>
    <col min="2571" max="2571" width="16.140625" style="22" bestFit="1" customWidth="1"/>
    <col min="2572" max="2572" width="15.140625" style="22" bestFit="1" customWidth="1"/>
    <col min="2573" max="2573" width="22.28515625" style="22" customWidth="1"/>
    <col min="2574" max="2574" width="16.28515625" style="22" bestFit="1" customWidth="1"/>
    <col min="2575" max="2816" width="9.140625" style="22" customWidth="1"/>
    <col min="2817" max="2817" width="12.5703125" style="22" customWidth="1"/>
    <col min="2818" max="2818" width="5.5703125" style="22" bestFit="1" customWidth="1"/>
    <col min="2819" max="2819" width="17.5703125" style="22" bestFit="1" customWidth="1"/>
    <col min="2820" max="2820" width="12.140625" style="22" bestFit="1" customWidth="1"/>
    <col min="2821" max="2821" width="17" style="22" bestFit="1" customWidth="1"/>
    <col min="2822" max="2822" width="13" style="22" bestFit="1" customWidth="1"/>
    <col min="2823" max="2823" width="13.85546875" style="22" bestFit="1" customWidth="1"/>
    <col min="2824" max="2824" width="13.7109375" style="22" bestFit="1" customWidth="1"/>
    <col min="2825" max="2825" width="15.28515625" style="22" customWidth="1"/>
    <col min="2826" max="2826" width="13.7109375" style="22" customWidth="1"/>
    <col min="2827" max="2827" width="16.140625" style="22" bestFit="1" customWidth="1"/>
    <col min="2828" max="2828" width="15.140625" style="22" bestFit="1" customWidth="1"/>
    <col min="2829" max="2829" width="22.28515625" style="22" customWidth="1"/>
    <col min="2830" max="2830" width="16.28515625" style="22" bestFit="1" customWidth="1"/>
    <col min="2831" max="3072" width="9.140625" style="22" customWidth="1"/>
    <col min="3073" max="3073" width="12.5703125" style="22" customWidth="1"/>
    <col min="3074" max="3074" width="5.5703125" style="22" bestFit="1" customWidth="1"/>
    <col min="3075" max="3075" width="17.5703125" style="22" bestFit="1" customWidth="1"/>
    <col min="3076" max="3076" width="12.140625" style="22" bestFit="1" customWidth="1"/>
    <col min="3077" max="3077" width="17" style="22" bestFit="1" customWidth="1"/>
    <col min="3078" max="3078" width="13" style="22" bestFit="1" customWidth="1"/>
    <col min="3079" max="3079" width="13.85546875" style="22" bestFit="1" customWidth="1"/>
    <col min="3080" max="3080" width="13.7109375" style="22" bestFit="1" customWidth="1"/>
    <col min="3081" max="3081" width="15.28515625" style="22" customWidth="1"/>
    <col min="3082" max="3082" width="13.7109375" style="22" customWidth="1"/>
    <col min="3083" max="3083" width="16.140625" style="22" bestFit="1" customWidth="1"/>
    <col min="3084" max="3084" width="15.140625" style="22" bestFit="1" customWidth="1"/>
    <col min="3085" max="3085" width="22.28515625" style="22" customWidth="1"/>
    <col min="3086" max="3086" width="16.28515625" style="22" bestFit="1" customWidth="1"/>
    <col min="3087" max="3328" width="9.140625" style="22" customWidth="1"/>
    <col min="3329" max="3329" width="12.5703125" style="22" customWidth="1"/>
    <col min="3330" max="3330" width="5.5703125" style="22" bestFit="1" customWidth="1"/>
    <col min="3331" max="3331" width="17.5703125" style="22" bestFit="1" customWidth="1"/>
    <col min="3332" max="3332" width="12.140625" style="22" bestFit="1" customWidth="1"/>
    <col min="3333" max="3333" width="17" style="22" bestFit="1" customWidth="1"/>
    <col min="3334" max="3334" width="13" style="22" bestFit="1" customWidth="1"/>
    <col min="3335" max="3335" width="13.85546875" style="22" bestFit="1" customWidth="1"/>
    <col min="3336" max="3336" width="13.7109375" style="22" bestFit="1" customWidth="1"/>
    <col min="3337" max="3337" width="15.28515625" style="22" customWidth="1"/>
    <col min="3338" max="3338" width="13.7109375" style="22" customWidth="1"/>
    <col min="3339" max="3339" width="16.140625" style="22" bestFit="1" customWidth="1"/>
    <col min="3340" max="3340" width="15.140625" style="22" bestFit="1" customWidth="1"/>
    <col min="3341" max="3341" width="22.28515625" style="22" customWidth="1"/>
    <col min="3342" max="3342" width="16.28515625" style="22" bestFit="1" customWidth="1"/>
    <col min="3343" max="3584" width="9.140625" style="22" customWidth="1"/>
    <col min="3585" max="3585" width="12.5703125" style="22" customWidth="1"/>
    <col min="3586" max="3586" width="5.5703125" style="22" bestFit="1" customWidth="1"/>
    <col min="3587" max="3587" width="17.5703125" style="22" bestFit="1" customWidth="1"/>
    <col min="3588" max="3588" width="12.140625" style="22" bestFit="1" customWidth="1"/>
    <col min="3589" max="3589" width="17" style="22" bestFit="1" customWidth="1"/>
    <col min="3590" max="3590" width="13" style="22" bestFit="1" customWidth="1"/>
    <col min="3591" max="3591" width="13.85546875" style="22" bestFit="1" customWidth="1"/>
    <col min="3592" max="3592" width="13.7109375" style="22" bestFit="1" customWidth="1"/>
    <col min="3593" max="3593" width="15.28515625" style="22" customWidth="1"/>
    <col min="3594" max="3594" width="13.7109375" style="22" customWidth="1"/>
    <col min="3595" max="3595" width="16.140625" style="22" bestFit="1" customWidth="1"/>
    <col min="3596" max="3596" width="15.140625" style="22" bestFit="1" customWidth="1"/>
    <col min="3597" max="3597" width="22.28515625" style="22" customWidth="1"/>
    <col min="3598" max="3598" width="16.28515625" style="22" bestFit="1" customWidth="1"/>
    <col min="3599" max="3840" width="9.140625" style="22" customWidth="1"/>
    <col min="3841" max="3841" width="12.5703125" style="22" customWidth="1"/>
    <col min="3842" max="3842" width="5.5703125" style="22" bestFit="1" customWidth="1"/>
    <col min="3843" max="3843" width="17.5703125" style="22" bestFit="1" customWidth="1"/>
    <col min="3844" max="3844" width="12.140625" style="22" bestFit="1" customWidth="1"/>
    <col min="3845" max="3845" width="17" style="22" bestFit="1" customWidth="1"/>
    <col min="3846" max="3846" width="13" style="22" bestFit="1" customWidth="1"/>
    <col min="3847" max="3847" width="13.85546875" style="22" bestFit="1" customWidth="1"/>
    <col min="3848" max="3848" width="13.7109375" style="22" bestFit="1" customWidth="1"/>
    <col min="3849" max="3849" width="15.28515625" style="22" customWidth="1"/>
    <col min="3850" max="3850" width="13.7109375" style="22" customWidth="1"/>
    <col min="3851" max="3851" width="16.140625" style="22" bestFit="1" customWidth="1"/>
    <col min="3852" max="3852" width="15.140625" style="22" bestFit="1" customWidth="1"/>
    <col min="3853" max="3853" width="22.28515625" style="22" customWidth="1"/>
    <col min="3854" max="3854" width="16.28515625" style="22" bestFit="1" customWidth="1"/>
    <col min="3855" max="4096" width="9.140625" style="22" customWidth="1"/>
    <col min="4097" max="4097" width="12.5703125" style="22" customWidth="1"/>
    <col min="4098" max="4098" width="5.5703125" style="22" bestFit="1" customWidth="1"/>
    <col min="4099" max="4099" width="17.5703125" style="22" bestFit="1" customWidth="1"/>
    <col min="4100" max="4100" width="12.140625" style="22" bestFit="1" customWidth="1"/>
    <col min="4101" max="4101" width="17" style="22" bestFit="1" customWidth="1"/>
    <col min="4102" max="4102" width="13" style="22" bestFit="1" customWidth="1"/>
    <col min="4103" max="4103" width="13.85546875" style="22" bestFit="1" customWidth="1"/>
    <col min="4104" max="4104" width="13.7109375" style="22" bestFit="1" customWidth="1"/>
    <col min="4105" max="4105" width="15.28515625" style="22" customWidth="1"/>
    <col min="4106" max="4106" width="13.7109375" style="22" customWidth="1"/>
    <col min="4107" max="4107" width="16.140625" style="22" bestFit="1" customWidth="1"/>
    <col min="4108" max="4108" width="15.140625" style="22" bestFit="1" customWidth="1"/>
    <col min="4109" max="4109" width="22.28515625" style="22" customWidth="1"/>
    <col min="4110" max="4110" width="16.28515625" style="22" bestFit="1" customWidth="1"/>
    <col min="4111" max="4352" width="9.140625" style="22" customWidth="1"/>
    <col min="4353" max="4353" width="12.5703125" style="22" customWidth="1"/>
    <col min="4354" max="4354" width="5.5703125" style="22" bestFit="1" customWidth="1"/>
    <col min="4355" max="4355" width="17.5703125" style="22" bestFit="1" customWidth="1"/>
    <col min="4356" max="4356" width="12.140625" style="22" bestFit="1" customWidth="1"/>
    <col min="4357" max="4357" width="17" style="22" bestFit="1" customWidth="1"/>
    <col min="4358" max="4358" width="13" style="22" bestFit="1" customWidth="1"/>
    <col min="4359" max="4359" width="13.85546875" style="22" bestFit="1" customWidth="1"/>
    <col min="4360" max="4360" width="13.7109375" style="22" bestFit="1" customWidth="1"/>
    <col min="4361" max="4361" width="15.28515625" style="22" customWidth="1"/>
    <col min="4362" max="4362" width="13.7109375" style="22" customWidth="1"/>
    <col min="4363" max="4363" width="16.140625" style="22" bestFit="1" customWidth="1"/>
    <col min="4364" max="4364" width="15.140625" style="22" bestFit="1" customWidth="1"/>
    <col min="4365" max="4365" width="22.28515625" style="22" customWidth="1"/>
    <col min="4366" max="4366" width="16.28515625" style="22" bestFit="1" customWidth="1"/>
    <col min="4367" max="4608" width="9.140625" style="22" customWidth="1"/>
    <col min="4609" max="4609" width="12.5703125" style="22" customWidth="1"/>
    <col min="4610" max="4610" width="5.5703125" style="22" bestFit="1" customWidth="1"/>
    <col min="4611" max="4611" width="17.5703125" style="22" bestFit="1" customWidth="1"/>
    <col min="4612" max="4612" width="12.140625" style="22" bestFit="1" customWidth="1"/>
    <col min="4613" max="4613" width="17" style="22" bestFit="1" customWidth="1"/>
    <col min="4614" max="4614" width="13" style="22" bestFit="1" customWidth="1"/>
    <col min="4615" max="4615" width="13.85546875" style="22" bestFit="1" customWidth="1"/>
    <col min="4616" max="4616" width="13.7109375" style="22" bestFit="1" customWidth="1"/>
    <col min="4617" max="4617" width="15.28515625" style="22" customWidth="1"/>
    <col min="4618" max="4618" width="13.7109375" style="22" customWidth="1"/>
    <col min="4619" max="4619" width="16.140625" style="22" bestFit="1" customWidth="1"/>
    <col min="4620" max="4620" width="15.140625" style="22" bestFit="1" customWidth="1"/>
    <col min="4621" max="4621" width="22.28515625" style="22" customWidth="1"/>
    <col min="4622" max="4622" width="16.28515625" style="22" bestFit="1" customWidth="1"/>
    <col min="4623" max="4864" width="9.140625" style="22" customWidth="1"/>
    <col min="4865" max="4865" width="12.5703125" style="22" customWidth="1"/>
    <col min="4866" max="4866" width="5.5703125" style="22" bestFit="1" customWidth="1"/>
    <col min="4867" max="4867" width="17.5703125" style="22" bestFit="1" customWidth="1"/>
    <col min="4868" max="4868" width="12.140625" style="22" bestFit="1" customWidth="1"/>
    <col min="4869" max="4869" width="17" style="22" bestFit="1" customWidth="1"/>
    <col min="4870" max="4870" width="13" style="22" bestFit="1" customWidth="1"/>
    <col min="4871" max="4871" width="13.85546875" style="22" bestFit="1" customWidth="1"/>
    <col min="4872" max="4872" width="13.7109375" style="22" bestFit="1" customWidth="1"/>
    <col min="4873" max="4873" width="15.28515625" style="22" customWidth="1"/>
    <col min="4874" max="4874" width="13.7109375" style="22" customWidth="1"/>
    <col min="4875" max="4875" width="16.140625" style="22" bestFit="1" customWidth="1"/>
    <col min="4876" max="4876" width="15.140625" style="22" bestFit="1" customWidth="1"/>
    <col min="4877" max="4877" width="22.28515625" style="22" customWidth="1"/>
    <col min="4878" max="4878" width="16.28515625" style="22" bestFit="1" customWidth="1"/>
    <col min="4879" max="5120" width="9.140625" style="22" customWidth="1"/>
    <col min="5121" max="5121" width="12.5703125" style="22" customWidth="1"/>
    <col min="5122" max="5122" width="5.5703125" style="22" bestFit="1" customWidth="1"/>
    <col min="5123" max="5123" width="17.5703125" style="22" bestFit="1" customWidth="1"/>
    <col min="5124" max="5124" width="12.140625" style="22" bestFit="1" customWidth="1"/>
    <col min="5125" max="5125" width="17" style="22" bestFit="1" customWidth="1"/>
    <col min="5126" max="5126" width="13" style="22" bestFit="1" customWidth="1"/>
    <col min="5127" max="5127" width="13.85546875" style="22" bestFit="1" customWidth="1"/>
    <col min="5128" max="5128" width="13.7109375" style="22" bestFit="1" customWidth="1"/>
    <col min="5129" max="5129" width="15.28515625" style="22" customWidth="1"/>
    <col min="5130" max="5130" width="13.7109375" style="22" customWidth="1"/>
    <col min="5131" max="5131" width="16.140625" style="22" bestFit="1" customWidth="1"/>
    <col min="5132" max="5132" width="15.140625" style="22" bestFit="1" customWidth="1"/>
    <col min="5133" max="5133" width="22.28515625" style="22" customWidth="1"/>
    <col min="5134" max="5134" width="16.28515625" style="22" bestFit="1" customWidth="1"/>
    <col min="5135" max="5376" width="9.140625" style="22" customWidth="1"/>
    <col min="5377" max="5377" width="12.5703125" style="22" customWidth="1"/>
    <col min="5378" max="5378" width="5.5703125" style="22" bestFit="1" customWidth="1"/>
    <col min="5379" max="5379" width="17.5703125" style="22" bestFit="1" customWidth="1"/>
    <col min="5380" max="5380" width="12.140625" style="22" bestFit="1" customWidth="1"/>
    <col min="5381" max="5381" width="17" style="22" bestFit="1" customWidth="1"/>
    <col min="5382" max="5382" width="13" style="22" bestFit="1" customWidth="1"/>
    <col min="5383" max="5383" width="13.85546875" style="22" bestFit="1" customWidth="1"/>
    <col min="5384" max="5384" width="13.7109375" style="22" bestFit="1" customWidth="1"/>
    <col min="5385" max="5385" width="15.28515625" style="22" customWidth="1"/>
    <col min="5386" max="5386" width="13.7109375" style="22" customWidth="1"/>
    <col min="5387" max="5387" width="16.140625" style="22" bestFit="1" customWidth="1"/>
    <col min="5388" max="5388" width="15.140625" style="22" bestFit="1" customWidth="1"/>
    <col min="5389" max="5389" width="22.28515625" style="22" customWidth="1"/>
    <col min="5390" max="5390" width="16.28515625" style="22" bestFit="1" customWidth="1"/>
    <col min="5391" max="5632" width="9.140625" style="22" customWidth="1"/>
    <col min="5633" max="5633" width="12.5703125" style="22" customWidth="1"/>
    <col min="5634" max="5634" width="5.5703125" style="22" bestFit="1" customWidth="1"/>
    <col min="5635" max="5635" width="17.5703125" style="22" bestFit="1" customWidth="1"/>
    <col min="5636" max="5636" width="12.140625" style="22" bestFit="1" customWidth="1"/>
    <col min="5637" max="5637" width="17" style="22" bestFit="1" customWidth="1"/>
    <col min="5638" max="5638" width="13" style="22" bestFit="1" customWidth="1"/>
    <col min="5639" max="5639" width="13.85546875" style="22" bestFit="1" customWidth="1"/>
    <col min="5640" max="5640" width="13.7109375" style="22" bestFit="1" customWidth="1"/>
    <col min="5641" max="5641" width="15.28515625" style="22" customWidth="1"/>
    <col min="5642" max="5642" width="13.7109375" style="22" customWidth="1"/>
    <col min="5643" max="5643" width="16.140625" style="22" bestFit="1" customWidth="1"/>
    <col min="5644" max="5644" width="15.140625" style="22" bestFit="1" customWidth="1"/>
    <col min="5645" max="5645" width="22.28515625" style="22" customWidth="1"/>
    <col min="5646" max="5646" width="16.28515625" style="22" bestFit="1" customWidth="1"/>
    <col min="5647" max="5888" width="9.140625" style="22" customWidth="1"/>
    <col min="5889" max="5889" width="12.5703125" style="22" customWidth="1"/>
    <col min="5890" max="5890" width="5.5703125" style="22" bestFit="1" customWidth="1"/>
    <col min="5891" max="5891" width="17.5703125" style="22" bestFit="1" customWidth="1"/>
    <col min="5892" max="5892" width="12.140625" style="22" bestFit="1" customWidth="1"/>
    <col min="5893" max="5893" width="17" style="22" bestFit="1" customWidth="1"/>
    <col min="5894" max="5894" width="13" style="22" bestFit="1" customWidth="1"/>
    <col min="5895" max="5895" width="13.85546875" style="22" bestFit="1" customWidth="1"/>
    <col min="5896" max="5896" width="13.7109375" style="22" bestFit="1" customWidth="1"/>
    <col min="5897" max="5897" width="15.28515625" style="22" customWidth="1"/>
    <col min="5898" max="5898" width="13.7109375" style="22" customWidth="1"/>
    <col min="5899" max="5899" width="16.140625" style="22" bestFit="1" customWidth="1"/>
    <col min="5900" max="5900" width="15.140625" style="22" bestFit="1" customWidth="1"/>
    <col min="5901" max="5901" width="22.28515625" style="22" customWidth="1"/>
    <col min="5902" max="5902" width="16.28515625" style="22" bestFit="1" customWidth="1"/>
    <col min="5903" max="6144" width="9.140625" style="22" customWidth="1"/>
    <col min="6145" max="6145" width="12.5703125" style="22" customWidth="1"/>
    <col min="6146" max="6146" width="5.5703125" style="22" bestFit="1" customWidth="1"/>
    <col min="6147" max="6147" width="17.5703125" style="22" bestFit="1" customWidth="1"/>
    <col min="6148" max="6148" width="12.140625" style="22" bestFit="1" customWidth="1"/>
    <col min="6149" max="6149" width="17" style="22" bestFit="1" customWidth="1"/>
    <col min="6150" max="6150" width="13" style="22" bestFit="1" customWidth="1"/>
    <col min="6151" max="6151" width="13.85546875" style="22" bestFit="1" customWidth="1"/>
    <col min="6152" max="6152" width="13.7109375" style="22" bestFit="1" customWidth="1"/>
    <col min="6153" max="6153" width="15.28515625" style="22" customWidth="1"/>
    <col min="6154" max="6154" width="13.7109375" style="22" customWidth="1"/>
    <col min="6155" max="6155" width="16.140625" style="22" bestFit="1" customWidth="1"/>
    <col min="6156" max="6156" width="15.140625" style="22" bestFit="1" customWidth="1"/>
    <col min="6157" max="6157" width="22.28515625" style="22" customWidth="1"/>
    <col min="6158" max="6158" width="16.28515625" style="22" bestFit="1" customWidth="1"/>
    <col min="6159" max="6400" width="9.140625" style="22" customWidth="1"/>
    <col min="6401" max="6401" width="12.5703125" style="22" customWidth="1"/>
    <col min="6402" max="6402" width="5.5703125" style="22" bestFit="1" customWidth="1"/>
    <col min="6403" max="6403" width="17.5703125" style="22" bestFit="1" customWidth="1"/>
    <col min="6404" max="6404" width="12.140625" style="22" bestFit="1" customWidth="1"/>
    <col min="6405" max="6405" width="17" style="22" bestFit="1" customWidth="1"/>
    <col min="6406" max="6406" width="13" style="22" bestFit="1" customWidth="1"/>
    <col min="6407" max="6407" width="13.85546875" style="22" bestFit="1" customWidth="1"/>
    <col min="6408" max="6408" width="13.7109375" style="22" bestFit="1" customWidth="1"/>
    <col min="6409" max="6409" width="15.28515625" style="22" customWidth="1"/>
    <col min="6410" max="6410" width="13.7109375" style="22" customWidth="1"/>
    <col min="6411" max="6411" width="16.140625" style="22" bestFit="1" customWidth="1"/>
    <col min="6412" max="6412" width="15.140625" style="22" bestFit="1" customWidth="1"/>
    <col min="6413" max="6413" width="22.28515625" style="22" customWidth="1"/>
    <col min="6414" max="6414" width="16.28515625" style="22" bestFit="1" customWidth="1"/>
    <col min="6415" max="6656" width="9.140625" style="22" customWidth="1"/>
    <col min="6657" max="6657" width="12.5703125" style="22" customWidth="1"/>
    <col min="6658" max="6658" width="5.5703125" style="22" bestFit="1" customWidth="1"/>
    <col min="6659" max="6659" width="17.5703125" style="22" bestFit="1" customWidth="1"/>
    <col min="6660" max="6660" width="12.140625" style="22" bestFit="1" customWidth="1"/>
    <col min="6661" max="6661" width="17" style="22" bestFit="1" customWidth="1"/>
    <col min="6662" max="6662" width="13" style="22" bestFit="1" customWidth="1"/>
    <col min="6663" max="6663" width="13.85546875" style="22" bestFit="1" customWidth="1"/>
    <col min="6664" max="6664" width="13.7109375" style="22" bestFit="1" customWidth="1"/>
    <col min="6665" max="6665" width="15.28515625" style="22" customWidth="1"/>
    <col min="6666" max="6666" width="13.7109375" style="22" customWidth="1"/>
    <col min="6667" max="6667" width="16.140625" style="22" bestFit="1" customWidth="1"/>
    <col min="6668" max="6668" width="15.140625" style="22" bestFit="1" customWidth="1"/>
    <col min="6669" max="6669" width="22.28515625" style="22" customWidth="1"/>
    <col min="6670" max="6670" width="16.28515625" style="22" bestFit="1" customWidth="1"/>
    <col min="6671" max="6912" width="9.140625" style="22" customWidth="1"/>
    <col min="6913" max="6913" width="12.5703125" style="22" customWidth="1"/>
    <col min="6914" max="6914" width="5.5703125" style="22" bestFit="1" customWidth="1"/>
    <col min="6915" max="6915" width="17.5703125" style="22" bestFit="1" customWidth="1"/>
    <col min="6916" max="6916" width="12.140625" style="22" bestFit="1" customWidth="1"/>
    <col min="6917" max="6917" width="17" style="22" bestFit="1" customWidth="1"/>
    <col min="6918" max="6918" width="13" style="22" bestFit="1" customWidth="1"/>
    <col min="6919" max="6919" width="13.85546875" style="22" bestFit="1" customWidth="1"/>
    <col min="6920" max="6920" width="13.7109375" style="22" bestFit="1" customWidth="1"/>
    <col min="6921" max="6921" width="15.28515625" style="22" customWidth="1"/>
    <col min="6922" max="6922" width="13.7109375" style="22" customWidth="1"/>
    <col min="6923" max="6923" width="16.140625" style="22" bestFit="1" customWidth="1"/>
    <col min="6924" max="6924" width="15.140625" style="22" bestFit="1" customWidth="1"/>
    <col min="6925" max="6925" width="22.28515625" style="22" customWidth="1"/>
    <col min="6926" max="6926" width="16.28515625" style="22" bestFit="1" customWidth="1"/>
    <col min="6927" max="7168" width="9.140625" style="22" customWidth="1"/>
    <col min="7169" max="7169" width="12.5703125" style="22" customWidth="1"/>
    <col min="7170" max="7170" width="5.5703125" style="22" bestFit="1" customWidth="1"/>
    <col min="7171" max="7171" width="17.5703125" style="22" bestFit="1" customWidth="1"/>
    <col min="7172" max="7172" width="12.140625" style="22" bestFit="1" customWidth="1"/>
    <col min="7173" max="7173" width="17" style="22" bestFit="1" customWidth="1"/>
    <col min="7174" max="7174" width="13" style="22" bestFit="1" customWidth="1"/>
    <col min="7175" max="7175" width="13.85546875" style="22" bestFit="1" customWidth="1"/>
    <col min="7176" max="7176" width="13.7109375" style="22" bestFit="1" customWidth="1"/>
    <col min="7177" max="7177" width="15.28515625" style="22" customWidth="1"/>
    <col min="7178" max="7178" width="13.7109375" style="22" customWidth="1"/>
    <col min="7179" max="7179" width="16.140625" style="22" bestFit="1" customWidth="1"/>
    <col min="7180" max="7180" width="15.140625" style="22" bestFit="1" customWidth="1"/>
    <col min="7181" max="7181" width="22.28515625" style="22" customWidth="1"/>
    <col min="7182" max="7182" width="16.28515625" style="22" bestFit="1" customWidth="1"/>
    <col min="7183" max="7424" width="9.140625" style="22" customWidth="1"/>
    <col min="7425" max="7425" width="12.5703125" style="22" customWidth="1"/>
    <col min="7426" max="7426" width="5.5703125" style="22" bestFit="1" customWidth="1"/>
    <col min="7427" max="7427" width="17.5703125" style="22" bestFit="1" customWidth="1"/>
    <col min="7428" max="7428" width="12.140625" style="22" bestFit="1" customWidth="1"/>
    <col min="7429" max="7429" width="17" style="22" bestFit="1" customWidth="1"/>
    <col min="7430" max="7430" width="13" style="22" bestFit="1" customWidth="1"/>
    <col min="7431" max="7431" width="13.85546875" style="22" bestFit="1" customWidth="1"/>
    <col min="7432" max="7432" width="13.7109375" style="22" bestFit="1" customWidth="1"/>
    <col min="7433" max="7433" width="15.28515625" style="22" customWidth="1"/>
    <col min="7434" max="7434" width="13.7109375" style="22" customWidth="1"/>
    <col min="7435" max="7435" width="16.140625" style="22" bestFit="1" customWidth="1"/>
    <col min="7436" max="7436" width="15.140625" style="22" bestFit="1" customWidth="1"/>
    <col min="7437" max="7437" width="22.28515625" style="22" customWidth="1"/>
    <col min="7438" max="7438" width="16.28515625" style="22" bestFit="1" customWidth="1"/>
    <col min="7439" max="7680" width="9.140625" style="22" customWidth="1"/>
    <col min="7681" max="7681" width="12.5703125" style="22" customWidth="1"/>
    <col min="7682" max="7682" width="5.5703125" style="22" bestFit="1" customWidth="1"/>
    <col min="7683" max="7683" width="17.5703125" style="22" bestFit="1" customWidth="1"/>
    <col min="7684" max="7684" width="12.140625" style="22" bestFit="1" customWidth="1"/>
    <col min="7685" max="7685" width="17" style="22" bestFit="1" customWidth="1"/>
    <col min="7686" max="7686" width="13" style="22" bestFit="1" customWidth="1"/>
    <col min="7687" max="7687" width="13.85546875" style="22" bestFit="1" customWidth="1"/>
    <col min="7688" max="7688" width="13.7109375" style="22" bestFit="1" customWidth="1"/>
    <col min="7689" max="7689" width="15.28515625" style="22" customWidth="1"/>
    <col min="7690" max="7690" width="13.7109375" style="22" customWidth="1"/>
    <col min="7691" max="7691" width="16.140625" style="22" bestFit="1" customWidth="1"/>
    <col min="7692" max="7692" width="15.140625" style="22" bestFit="1" customWidth="1"/>
    <col min="7693" max="7693" width="22.28515625" style="22" customWidth="1"/>
    <col min="7694" max="7694" width="16.28515625" style="22" bestFit="1" customWidth="1"/>
    <col min="7695" max="7936" width="9.140625" style="22" customWidth="1"/>
    <col min="7937" max="7937" width="12.5703125" style="22" customWidth="1"/>
    <col min="7938" max="7938" width="5.5703125" style="22" bestFit="1" customWidth="1"/>
    <col min="7939" max="7939" width="17.5703125" style="22" bestFit="1" customWidth="1"/>
    <col min="7940" max="7940" width="12.140625" style="22" bestFit="1" customWidth="1"/>
    <col min="7941" max="7941" width="17" style="22" bestFit="1" customWidth="1"/>
    <col min="7942" max="7942" width="13" style="22" bestFit="1" customWidth="1"/>
    <col min="7943" max="7943" width="13.85546875" style="22" bestFit="1" customWidth="1"/>
    <col min="7944" max="7944" width="13.7109375" style="22" bestFit="1" customWidth="1"/>
    <col min="7945" max="7945" width="15.28515625" style="22" customWidth="1"/>
    <col min="7946" max="7946" width="13.7109375" style="22" customWidth="1"/>
    <col min="7947" max="7947" width="16.140625" style="22" bestFit="1" customWidth="1"/>
    <col min="7948" max="7948" width="15.140625" style="22" bestFit="1" customWidth="1"/>
    <col min="7949" max="7949" width="22.28515625" style="22" customWidth="1"/>
    <col min="7950" max="7950" width="16.28515625" style="22" bestFit="1" customWidth="1"/>
    <col min="7951" max="8192" width="9.140625" style="22" customWidth="1"/>
    <col min="8193" max="8193" width="12.5703125" style="22" customWidth="1"/>
    <col min="8194" max="8194" width="5.5703125" style="22" bestFit="1" customWidth="1"/>
    <col min="8195" max="8195" width="17.5703125" style="22" bestFit="1" customWidth="1"/>
    <col min="8196" max="8196" width="12.140625" style="22" bestFit="1" customWidth="1"/>
    <col min="8197" max="8197" width="17" style="22" bestFit="1" customWidth="1"/>
    <col min="8198" max="8198" width="13" style="22" bestFit="1" customWidth="1"/>
    <col min="8199" max="8199" width="13.85546875" style="22" bestFit="1" customWidth="1"/>
    <col min="8200" max="8200" width="13.7109375" style="22" bestFit="1" customWidth="1"/>
    <col min="8201" max="8201" width="15.28515625" style="22" customWidth="1"/>
    <col min="8202" max="8202" width="13.7109375" style="22" customWidth="1"/>
    <col min="8203" max="8203" width="16.140625" style="22" bestFit="1" customWidth="1"/>
    <col min="8204" max="8204" width="15.140625" style="22" bestFit="1" customWidth="1"/>
    <col min="8205" max="8205" width="22.28515625" style="22" customWidth="1"/>
    <col min="8206" max="8206" width="16.28515625" style="22" bestFit="1" customWidth="1"/>
    <col min="8207" max="8448" width="9.140625" style="22" customWidth="1"/>
    <col min="8449" max="8449" width="12.5703125" style="22" customWidth="1"/>
    <col min="8450" max="8450" width="5.5703125" style="22" bestFit="1" customWidth="1"/>
    <col min="8451" max="8451" width="17.5703125" style="22" bestFit="1" customWidth="1"/>
    <col min="8452" max="8452" width="12.140625" style="22" bestFit="1" customWidth="1"/>
    <col min="8453" max="8453" width="17" style="22" bestFit="1" customWidth="1"/>
    <col min="8454" max="8454" width="13" style="22" bestFit="1" customWidth="1"/>
    <col min="8455" max="8455" width="13.85546875" style="22" bestFit="1" customWidth="1"/>
    <col min="8456" max="8456" width="13.7109375" style="22" bestFit="1" customWidth="1"/>
    <col min="8457" max="8457" width="15.28515625" style="22" customWidth="1"/>
    <col min="8458" max="8458" width="13.7109375" style="22" customWidth="1"/>
    <col min="8459" max="8459" width="16.140625" style="22" bestFit="1" customWidth="1"/>
    <col min="8460" max="8460" width="15.140625" style="22" bestFit="1" customWidth="1"/>
    <col min="8461" max="8461" width="22.28515625" style="22" customWidth="1"/>
    <col min="8462" max="8462" width="16.28515625" style="22" bestFit="1" customWidth="1"/>
    <col min="8463" max="8704" width="9.140625" style="22" customWidth="1"/>
    <col min="8705" max="8705" width="12.5703125" style="22" customWidth="1"/>
    <col min="8706" max="8706" width="5.5703125" style="22" bestFit="1" customWidth="1"/>
    <col min="8707" max="8707" width="17.5703125" style="22" bestFit="1" customWidth="1"/>
    <col min="8708" max="8708" width="12.140625" style="22" bestFit="1" customWidth="1"/>
    <col min="8709" max="8709" width="17" style="22" bestFit="1" customWidth="1"/>
    <col min="8710" max="8710" width="13" style="22" bestFit="1" customWidth="1"/>
    <col min="8711" max="8711" width="13.85546875" style="22" bestFit="1" customWidth="1"/>
    <col min="8712" max="8712" width="13.7109375" style="22" bestFit="1" customWidth="1"/>
    <col min="8713" max="8713" width="15.28515625" style="22" customWidth="1"/>
    <col min="8714" max="8714" width="13.7109375" style="22" customWidth="1"/>
    <col min="8715" max="8715" width="16.140625" style="22" bestFit="1" customWidth="1"/>
    <col min="8716" max="8716" width="15.140625" style="22" bestFit="1" customWidth="1"/>
    <col min="8717" max="8717" width="22.28515625" style="22" customWidth="1"/>
    <col min="8718" max="8718" width="16.28515625" style="22" bestFit="1" customWidth="1"/>
    <col min="8719" max="8960" width="9.140625" style="22" customWidth="1"/>
    <col min="8961" max="8961" width="12.5703125" style="22" customWidth="1"/>
    <col min="8962" max="8962" width="5.5703125" style="22" bestFit="1" customWidth="1"/>
    <col min="8963" max="8963" width="17.5703125" style="22" bestFit="1" customWidth="1"/>
    <col min="8964" max="8964" width="12.140625" style="22" bestFit="1" customWidth="1"/>
    <col min="8965" max="8965" width="17" style="22" bestFit="1" customWidth="1"/>
    <col min="8966" max="8966" width="13" style="22" bestFit="1" customWidth="1"/>
    <col min="8967" max="8967" width="13.85546875" style="22" bestFit="1" customWidth="1"/>
    <col min="8968" max="8968" width="13.7109375" style="22" bestFit="1" customWidth="1"/>
    <col min="8969" max="8969" width="15.28515625" style="22" customWidth="1"/>
    <col min="8970" max="8970" width="13.7109375" style="22" customWidth="1"/>
    <col min="8971" max="8971" width="16.140625" style="22" bestFit="1" customWidth="1"/>
    <col min="8972" max="8972" width="15.140625" style="22" bestFit="1" customWidth="1"/>
    <col min="8973" max="8973" width="22.28515625" style="22" customWidth="1"/>
    <col min="8974" max="8974" width="16.28515625" style="22" bestFit="1" customWidth="1"/>
    <col min="8975" max="9216" width="9.140625" style="22" customWidth="1"/>
    <col min="9217" max="9217" width="12.5703125" style="22" customWidth="1"/>
    <col min="9218" max="9218" width="5.5703125" style="22" bestFit="1" customWidth="1"/>
    <col min="9219" max="9219" width="17.5703125" style="22" bestFit="1" customWidth="1"/>
    <col min="9220" max="9220" width="12.140625" style="22" bestFit="1" customWidth="1"/>
    <col min="9221" max="9221" width="17" style="22" bestFit="1" customWidth="1"/>
    <col min="9222" max="9222" width="13" style="22" bestFit="1" customWidth="1"/>
    <col min="9223" max="9223" width="13.85546875" style="22" bestFit="1" customWidth="1"/>
    <col min="9224" max="9224" width="13.7109375" style="22" bestFit="1" customWidth="1"/>
    <col min="9225" max="9225" width="15.28515625" style="22" customWidth="1"/>
    <col min="9226" max="9226" width="13.7109375" style="22" customWidth="1"/>
    <col min="9227" max="9227" width="16.140625" style="22" bestFit="1" customWidth="1"/>
    <col min="9228" max="9228" width="15.140625" style="22" bestFit="1" customWidth="1"/>
    <col min="9229" max="9229" width="22.28515625" style="22" customWidth="1"/>
    <col min="9230" max="9230" width="16.28515625" style="22" bestFit="1" customWidth="1"/>
    <col min="9231" max="9472" width="9.140625" style="22" customWidth="1"/>
    <col min="9473" max="9473" width="12.5703125" style="22" customWidth="1"/>
    <col min="9474" max="9474" width="5.5703125" style="22" bestFit="1" customWidth="1"/>
    <col min="9475" max="9475" width="17.5703125" style="22" bestFit="1" customWidth="1"/>
    <col min="9476" max="9476" width="12.140625" style="22" bestFit="1" customWidth="1"/>
    <col min="9477" max="9477" width="17" style="22" bestFit="1" customWidth="1"/>
    <col min="9478" max="9478" width="13" style="22" bestFit="1" customWidth="1"/>
    <col min="9479" max="9479" width="13.85546875" style="22" bestFit="1" customWidth="1"/>
    <col min="9480" max="9480" width="13.7109375" style="22" bestFit="1" customWidth="1"/>
    <col min="9481" max="9481" width="15.28515625" style="22" customWidth="1"/>
    <col min="9482" max="9482" width="13.7109375" style="22" customWidth="1"/>
    <col min="9483" max="9483" width="16.140625" style="22" bestFit="1" customWidth="1"/>
    <col min="9484" max="9484" width="15.140625" style="22" bestFit="1" customWidth="1"/>
    <col min="9485" max="9485" width="22.28515625" style="22" customWidth="1"/>
    <col min="9486" max="9486" width="16.28515625" style="22" bestFit="1" customWidth="1"/>
    <col min="9487" max="9728" width="9.140625" style="22" customWidth="1"/>
    <col min="9729" max="9729" width="12.5703125" style="22" customWidth="1"/>
    <col min="9730" max="9730" width="5.5703125" style="22" bestFit="1" customWidth="1"/>
    <col min="9731" max="9731" width="17.5703125" style="22" bestFit="1" customWidth="1"/>
    <col min="9732" max="9732" width="12.140625" style="22" bestFit="1" customWidth="1"/>
    <col min="9733" max="9733" width="17" style="22" bestFit="1" customWidth="1"/>
    <col min="9734" max="9734" width="13" style="22" bestFit="1" customWidth="1"/>
    <col min="9735" max="9735" width="13.85546875" style="22" bestFit="1" customWidth="1"/>
    <col min="9736" max="9736" width="13.7109375" style="22" bestFit="1" customWidth="1"/>
    <col min="9737" max="9737" width="15.28515625" style="22" customWidth="1"/>
    <col min="9738" max="9738" width="13.7109375" style="22" customWidth="1"/>
    <col min="9739" max="9739" width="16.140625" style="22" bestFit="1" customWidth="1"/>
    <col min="9740" max="9740" width="15.140625" style="22" bestFit="1" customWidth="1"/>
    <col min="9741" max="9741" width="22.28515625" style="22" customWidth="1"/>
    <col min="9742" max="9742" width="16.28515625" style="22" bestFit="1" customWidth="1"/>
    <col min="9743" max="9984" width="9.140625" style="22" customWidth="1"/>
    <col min="9985" max="9985" width="12.5703125" style="22" customWidth="1"/>
    <col min="9986" max="9986" width="5.5703125" style="22" bestFit="1" customWidth="1"/>
    <col min="9987" max="9987" width="17.5703125" style="22" bestFit="1" customWidth="1"/>
    <col min="9988" max="9988" width="12.140625" style="22" bestFit="1" customWidth="1"/>
    <col min="9989" max="9989" width="17" style="22" bestFit="1" customWidth="1"/>
    <col min="9990" max="9990" width="13" style="22" bestFit="1" customWidth="1"/>
    <col min="9991" max="9991" width="13.85546875" style="22" bestFit="1" customWidth="1"/>
    <col min="9992" max="9992" width="13.7109375" style="22" bestFit="1" customWidth="1"/>
    <col min="9993" max="9993" width="15.28515625" style="22" customWidth="1"/>
    <col min="9994" max="9994" width="13.7109375" style="22" customWidth="1"/>
    <col min="9995" max="9995" width="16.140625" style="22" bestFit="1" customWidth="1"/>
    <col min="9996" max="9996" width="15.140625" style="22" bestFit="1" customWidth="1"/>
    <col min="9997" max="9997" width="22.28515625" style="22" customWidth="1"/>
    <col min="9998" max="9998" width="16.28515625" style="22" bestFit="1" customWidth="1"/>
    <col min="9999" max="10240" width="9.140625" style="22" customWidth="1"/>
    <col min="10241" max="10241" width="12.5703125" style="22" customWidth="1"/>
    <col min="10242" max="10242" width="5.5703125" style="22" bestFit="1" customWidth="1"/>
    <col min="10243" max="10243" width="17.5703125" style="22" bestFit="1" customWidth="1"/>
    <col min="10244" max="10244" width="12.140625" style="22" bestFit="1" customWidth="1"/>
    <col min="10245" max="10245" width="17" style="22" bestFit="1" customWidth="1"/>
    <col min="10246" max="10246" width="13" style="22" bestFit="1" customWidth="1"/>
    <col min="10247" max="10247" width="13.85546875" style="22" bestFit="1" customWidth="1"/>
    <col min="10248" max="10248" width="13.7109375" style="22" bestFit="1" customWidth="1"/>
    <col min="10249" max="10249" width="15.28515625" style="22" customWidth="1"/>
    <col min="10250" max="10250" width="13.7109375" style="22" customWidth="1"/>
    <col min="10251" max="10251" width="16.140625" style="22" bestFit="1" customWidth="1"/>
    <col min="10252" max="10252" width="15.140625" style="22" bestFit="1" customWidth="1"/>
    <col min="10253" max="10253" width="22.28515625" style="22" customWidth="1"/>
    <col min="10254" max="10254" width="16.28515625" style="22" bestFit="1" customWidth="1"/>
    <col min="10255" max="10496" width="9.140625" style="22" customWidth="1"/>
    <col min="10497" max="10497" width="12.5703125" style="22" customWidth="1"/>
    <col min="10498" max="10498" width="5.5703125" style="22" bestFit="1" customWidth="1"/>
    <col min="10499" max="10499" width="17.5703125" style="22" bestFit="1" customWidth="1"/>
    <col min="10500" max="10500" width="12.140625" style="22" bestFit="1" customWidth="1"/>
    <col min="10501" max="10501" width="17" style="22" bestFit="1" customWidth="1"/>
    <col min="10502" max="10502" width="13" style="22" bestFit="1" customWidth="1"/>
    <col min="10503" max="10503" width="13.85546875" style="22" bestFit="1" customWidth="1"/>
    <col min="10504" max="10504" width="13.7109375" style="22" bestFit="1" customWidth="1"/>
    <col min="10505" max="10505" width="15.28515625" style="22" customWidth="1"/>
    <col min="10506" max="10506" width="13.7109375" style="22" customWidth="1"/>
    <col min="10507" max="10507" width="16.140625" style="22" bestFit="1" customWidth="1"/>
    <col min="10508" max="10508" width="15.140625" style="22" bestFit="1" customWidth="1"/>
    <col min="10509" max="10509" width="22.28515625" style="22" customWidth="1"/>
    <col min="10510" max="10510" width="16.28515625" style="22" bestFit="1" customWidth="1"/>
    <col min="10511" max="10752" width="9.140625" style="22" customWidth="1"/>
    <col min="10753" max="10753" width="12.5703125" style="22" customWidth="1"/>
    <col min="10754" max="10754" width="5.5703125" style="22" bestFit="1" customWidth="1"/>
    <col min="10755" max="10755" width="17.5703125" style="22" bestFit="1" customWidth="1"/>
    <col min="10756" max="10756" width="12.140625" style="22" bestFit="1" customWidth="1"/>
    <col min="10757" max="10757" width="17" style="22" bestFit="1" customWidth="1"/>
    <col min="10758" max="10758" width="13" style="22" bestFit="1" customWidth="1"/>
    <col min="10759" max="10759" width="13.85546875" style="22" bestFit="1" customWidth="1"/>
    <col min="10760" max="10760" width="13.7109375" style="22" bestFit="1" customWidth="1"/>
    <col min="10761" max="10761" width="15.28515625" style="22" customWidth="1"/>
    <col min="10762" max="10762" width="13.7109375" style="22" customWidth="1"/>
    <col min="10763" max="10763" width="16.140625" style="22" bestFit="1" customWidth="1"/>
    <col min="10764" max="10764" width="15.140625" style="22" bestFit="1" customWidth="1"/>
    <col min="10765" max="10765" width="22.28515625" style="22" customWidth="1"/>
    <col min="10766" max="10766" width="16.28515625" style="22" bestFit="1" customWidth="1"/>
    <col min="10767" max="11008" width="9.140625" style="22" customWidth="1"/>
    <col min="11009" max="11009" width="12.5703125" style="22" customWidth="1"/>
    <col min="11010" max="11010" width="5.5703125" style="22" bestFit="1" customWidth="1"/>
    <col min="11011" max="11011" width="17.5703125" style="22" bestFit="1" customWidth="1"/>
    <col min="11012" max="11012" width="12.140625" style="22" bestFit="1" customWidth="1"/>
    <col min="11013" max="11013" width="17" style="22" bestFit="1" customWidth="1"/>
    <col min="11014" max="11014" width="13" style="22" bestFit="1" customWidth="1"/>
    <col min="11015" max="11015" width="13.85546875" style="22" bestFit="1" customWidth="1"/>
    <col min="11016" max="11016" width="13.7109375" style="22" bestFit="1" customWidth="1"/>
    <col min="11017" max="11017" width="15.28515625" style="22" customWidth="1"/>
    <col min="11018" max="11018" width="13.7109375" style="22" customWidth="1"/>
    <col min="11019" max="11019" width="16.140625" style="22" bestFit="1" customWidth="1"/>
    <col min="11020" max="11020" width="15.140625" style="22" bestFit="1" customWidth="1"/>
    <col min="11021" max="11021" width="22.28515625" style="22" customWidth="1"/>
    <col min="11022" max="11022" width="16.28515625" style="22" bestFit="1" customWidth="1"/>
    <col min="11023" max="11264" width="9.140625" style="22" customWidth="1"/>
    <col min="11265" max="11265" width="12.5703125" style="22" customWidth="1"/>
    <col min="11266" max="11266" width="5.5703125" style="22" bestFit="1" customWidth="1"/>
    <col min="11267" max="11267" width="17.5703125" style="22" bestFit="1" customWidth="1"/>
    <col min="11268" max="11268" width="12.140625" style="22" bestFit="1" customWidth="1"/>
    <col min="11269" max="11269" width="17" style="22" bestFit="1" customWidth="1"/>
    <col min="11270" max="11270" width="13" style="22" bestFit="1" customWidth="1"/>
    <col min="11271" max="11271" width="13.85546875" style="22" bestFit="1" customWidth="1"/>
    <col min="11272" max="11272" width="13.7109375" style="22" bestFit="1" customWidth="1"/>
    <col min="11273" max="11273" width="15.28515625" style="22" customWidth="1"/>
    <col min="11274" max="11274" width="13.7109375" style="22" customWidth="1"/>
    <col min="11275" max="11275" width="16.140625" style="22" bestFit="1" customWidth="1"/>
    <col min="11276" max="11276" width="15.140625" style="22" bestFit="1" customWidth="1"/>
    <col min="11277" max="11277" width="22.28515625" style="22" customWidth="1"/>
    <col min="11278" max="11278" width="16.28515625" style="22" bestFit="1" customWidth="1"/>
    <col min="11279" max="11520" width="9.140625" style="22" customWidth="1"/>
    <col min="11521" max="11521" width="12.5703125" style="22" customWidth="1"/>
    <col min="11522" max="11522" width="5.5703125" style="22" bestFit="1" customWidth="1"/>
    <col min="11523" max="11523" width="17.5703125" style="22" bestFit="1" customWidth="1"/>
    <col min="11524" max="11524" width="12.140625" style="22" bestFit="1" customWidth="1"/>
    <col min="11525" max="11525" width="17" style="22" bestFit="1" customWidth="1"/>
    <col min="11526" max="11526" width="13" style="22" bestFit="1" customWidth="1"/>
    <col min="11527" max="11527" width="13.85546875" style="22" bestFit="1" customWidth="1"/>
    <col min="11528" max="11528" width="13.7109375" style="22" bestFit="1" customWidth="1"/>
    <col min="11529" max="11529" width="15.28515625" style="22" customWidth="1"/>
    <col min="11530" max="11530" width="13.7109375" style="22" customWidth="1"/>
    <col min="11531" max="11531" width="16.140625" style="22" bestFit="1" customWidth="1"/>
    <col min="11532" max="11532" width="15.140625" style="22" bestFit="1" customWidth="1"/>
    <col min="11533" max="11533" width="22.28515625" style="22" customWidth="1"/>
    <col min="11534" max="11534" width="16.28515625" style="22" bestFit="1" customWidth="1"/>
    <col min="11535" max="11776" width="9.140625" style="22" customWidth="1"/>
    <col min="11777" max="11777" width="12.5703125" style="22" customWidth="1"/>
    <col min="11778" max="11778" width="5.5703125" style="22" bestFit="1" customWidth="1"/>
    <col min="11779" max="11779" width="17.5703125" style="22" bestFit="1" customWidth="1"/>
    <col min="11780" max="11780" width="12.140625" style="22" bestFit="1" customWidth="1"/>
    <col min="11781" max="11781" width="17" style="22" bestFit="1" customWidth="1"/>
    <col min="11782" max="11782" width="13" style="22" bestFit="1" customWidth="1"/>
    <col min="11783" max="11783" width="13.85546875" style="22" bestFit="1" customWidth="1"/>
    <col min="11784" max="11784" width="13.7109375" style="22" bestFit="1" customWidth="1"/>
    <col min="11785" max="11785" width="15.28515625" style="22" customWidth="1"/>
    <col min="11786" max="11786" width="13.7109375" style="22" customWidth="1"/>
    <col min="11787" max="11787" width="16.140625" style="22" bestFit="1" customWidth="1"/>
    <col min="11788" max="11788" width="15.140625" style="22" bestFit="1" customWidth="1"/>
    <col min="11789" max="11789" width="22.28515625" style="22" customWidth="1"/>
    <col min="11790" max="11790" width="16.28515625" style="22" bestFit="1" customWidth="1"/>
    <col min="11791" max="12032" width="9.140625" style="22" customWidth="1"/>
    <col min="12033" max="12033" width="12.5703125" style="22" customWidth="1"/>
    <col min="12034" max="12034" width="5.5703125" style="22" bestFit="1" customWidth="1"/>
    <col min="12035" max="12035" width="17.5703125" style="22" bestFit="1" customWidth="1"/>
    <col min="12036" max="12036" width="12.140625" style="22" bestFit="1" customWidth="1"/>
    <col min="12037" max="12037" width="17" style="22" bestFit="1" customWidth="1"/>
    <col min="12038" max="12038" width="13" style="22" bestFit="1" customWidth="1"/>
    <col min="12039" max="12039" width="13.85546875" style="22" bestFit="1" customWidth="1"/>
    <col min="12040" max="12040" width="13.7109375" style="22" bestFit="1" customWidth="1"/>
    <col min="12041" max="12041" width="15.28515625" style="22" customWidth="1"/>
    <col min="12042" max="12042" width="13.7109375" style="22" customWidth="1"/>
    <col min="12043" max="12043" width="16.140625" style="22" bestFit="1" customWidth="1"/>
    <col min="12044" max="12044" width="15.140625" style="22" bestFit="1" customWidth="1"/>
    <col min="12045" max="12045" width="22.28515625" style="22" customWidth="1"/>
    <col min="12046" max="12046" width="16.28515625" style="22" bestFit="1" customWidth="1"/>
    <col min="12047" max="12288" width="9.140625" style="22" customWidth="1"/>
    <col min="12289" max="12289" width="12.5703125" style="22" customWidth="1"/>
    <col min="12290" max="12290" width="5.5703125" style="22" bestFit="1" customWidth="1"/>
    <col min="12291" max="12291" width="17.5703125" style="22" bestFit="1" customWidth="1"/>
    <col min="12292" max="12292" width="12.140625" style="22" bestFit="1" customWidth="1"/>
    <col min="12293" max="12293" width="17" style="22" bestFit="1" customWidth="1"/>
    <col min="12294" max="12294" width="13" style="22" bestFit="1" customWidth="1"/>
    <col min="12295" max="12295" width="13.85546875" style="22" bestFit="1" customWidth="1"/>
    <col min="12296" max="12296" width="13.7109375" style="22" bestFit="1" customWidth="1"/>
    <col min="12297" max="12297" width="15.28515625" style="22" customWidth="1"/>
    <col min="12298" max="12298" width="13.7109375" style="22" customWidth="1"/>
    <col min="12299" max="12299" width="16.140625" style="22" bestFit="1" customWidth="1"/>
    <col min="12300" max="12300" width="15.140625" style="22" bestFit="1" customWidth="1"/>
    <col min="12301" max="12301" width="22.28515625" style="22" customWidth="1"/>
    <col min="12302" max="12302" width="16.28515625" style="22" bestFit="1" customWidth="1"/>
    <col min="12303" max="12544" width="9.140625" style="22" customWidth="1"/>
    <col min="12545" max="12545" width="12.5703125" style="22" customWidth="1"/>
    <col min="12546" max="12546" width="5.5703125" style="22" bestFit="1" customWidth="1"/>
    <col min="12547" max="12547" width="17.5703125" style="22" bestFit="1" customWidth="1"/>
    <col min="12548" max="12548" width="12.140625" style="22" bestFit="1" customWidth="1"/>
    <col min="12549" max="12549" width="17" style="22" bestFit="1" customWidth="1"/>
    <col min="12550" max="12550" width="13" style="22" bestFit="1" customWidth="1"/>
    <col min="12551" max="12551" width="13.85546875" style="22" bestFit="1" customWidth="1"/>
    <col min="12552" max="12552" width="13.7109375" style="22" bestFit="1" customWidth="1"/>
    <col min="12553" max="12553" width="15.28515625" style="22" customWidth="1"/>
    <col min="12554" max="12554" width="13.7109375" style="22" customWidth="1"/>
    <col min="12555" max="12555" width="16.140625" style="22" bestFit="1" customWidth="1"/>
    <col min="12556" max="12556" width="15.140625" style="22" bestFit="1" customWidth="1"/>
    <col min="12557" max="12557" width="22.28515625" style="22" customWidth="1"/>
    <col min="12558" max="12558" width="16.28515625" style="22" bestFit="1" customWidth="1"/>
    <col min="12559" max="12800" width="9.140625" style="22" customWidth="1"/>
    <col min="12801" max="12801" width="12.5703125" style="22" customWidth="1"/>
    <col min="12802" max="12802" width="5.5703125" style="22" bestFit="1" customWidth="1"/>
    <col min="12803" max="12803" width="17.5703125" style="22" bestFit="1" customWidth="1"/>
    <col min="12804" max="12804" width="12.140625" style="22" bestFit="1" customWidth="1"/>
    <col min="12805" max="12805" width="17" style="22" bestFit="1" customWidth="1"/>
    <col min="12806" max="12806" width="13" style="22" bestFit="1" customWidth="1"/>
    <col min="12807" max="12807" width="13.85546875" style="22" bestFit="1" customWidth="1"/>
    <col min="12808" max="12808" width="13.7109375" style="22" bestFit="1" customWidth="1"/>
    <col min="12809" max="12809" width="15.28515625" style="22" customWidth="1"/>
    <col min="12810" max="12810" width="13.7109375" style="22" customWidth="1"/>
    <col min="12811" max="12811" width="16.140625" style="22" bestFit="1" customWidth="1"/>
    <col min="12812" max="12812" width="15.140625" style="22" bestFit="1" customWidth="1"/>
    <col min="12813" max="12813" width="22.28515625" style="22" customWidth="1"/>
    <col min="12814" max="12814" width="16.28515625" style="22" bestFit="1" customWidth="1"/>
    <col min="12815" max="13056" width="9.140625" style="22" customWidth="1"/>
    <col min="13057" max="13057" width="12.5703125" style="22" customWidth="1"/>
    <col min="13058" max="13058" width="5.5703125" style="22" bestFit="1" customWidth="1"/>
    <col min="13059" max="13059" width="17.5703125" style="22" bestFit="1" customWidth="1"/>
    <col min="13060" max="13060" width="12.140625" style="22" bestFit="1" customWidth="1"/>
    <col min="13061" max="13061" width="17" style="22" bestFit="1" customWidth="1"/>
    <col min="13062" max="13062" width="13" style="22" bestFit="1" customWidth="1"/>
    <col min="13063" max="13063" width="13.85546875" style="22" bestFit="1" customWidth="1"/>
    <col min="13064" max="13064" width="13.7109375" style="22" bestFit="1" customWidth="1"/>
    <col min="13065" max="13065" width="15.28515625" style="22" customWidth="1"/>
    <col min="13066" max="13066" width="13.7109375" style="22" customWidth="1"/>
    <col min="13067" max="13067" width="16.140625" style="22" bestFit="1" customWidth="1"/>
    <col min="13068" max="13068" width="15.140625" style="22" bestFit="1" customWidth="1"/>
    <col min="13069" max="13069" width="22.28515625" style="22" customWidth="1"/>
    <col min="13070" max="13070" width="16.28515625" style="22" bestFit="1" customWidth="1"/>
    <col min="13071" max="13312" width="9.140625" style="22" customWidth="1"/>
    <col min="13313" max="13313" width="12.5703125" style="22" customWidth="1"/>
    <col min="13314" max="13314" width="5.5703125" style="22" bestFit="1" customWidth="1"/>
    <col min="13315" max="13315" width="17.5703125" style="22" bestFit="1" customWidth="1"/>
    <col min="13316" max="13316" width="12.140625" style="22" bestFit="1" customWidth="1"/>
    <col min="13317" max="13317" width="17" style="22" bestFit="1" customWidth="1"/>
    <col min="13318" max="13318" width="13" style="22" bestFit="1" customWidth="1"/>
    <col min="13319" max="13319" width="13.85546875" style="22" bestFit="1" customWidth="1"/>
    <col min="13320" max="13320" width="13.7109375" style="22" bestFit="1" customWidth="1"/>
    <col min="13321" max="13321" width="15.28515625" style="22" customWidth="1"/>
    <col min="13322" max="13322" width="13.7109375" style="22" customWidth="1"/>
    <col min="13323" max="13323" width="16.140625" style="22" bestFit="1" customWidth="1"/>
    <col min="13324" max="13324" width="15.140625" style="22" bestFit="1" customWidth="1"/>
    <col min="13325" max="13325" width="22.28515625" style="22" customWidth="1"/>
    <col min="13326" max="13326" width="16.28515625" style="22" bestFit="1" customWidth="1"/>
    <col min="13327" max="13568" width="9.140625" style="22" customWidth="1"/>
    <col min="13569" max="13569" width="12.5703125" style="22" customWidth="1"/>
    <col min="13570" max="13570" width="5.5703125" style="22" bestFit="1" customWidth="1"/>
    <col min="13571" max="13571" width="17.5703125" style="22" bestFit="1" customWidth="1"/>
    <col min="13572" max="13572" width="12.140625" style="22" bestFit="1" customWidth="1"/>
    <col min="13573" max="13573" width="17" style="22" bestFit="1" customWidth="1"/>
    <col min="13574" max="13574" width="13" style="22" bestFit="1" customWidth="1"/>
    <col min="13575" max="13575" width="13.85546875" style="22" bestFit="1" customWidth="1"/>
    <col min="13576" max="13576" width="13.7109375" style="22" bestFit="1" customWidth="1"/>
    <col min="13577" max="13577" width="15.28515625" style="22" customWidth="1"/>
    <col min="13578" max="13578" width="13.7109375" style="22" customWidth="1"/>
    <col min="13579" max="13579" width="16.140625" style="22" bestFit="1" customWidth="1"/>
    <col min="13580" max="13580" width="15.140625" style="22" bestFit="1" customWidth="1"/>
    <col min="13581" max="13581" width="22.28515625" style="22" customWidth="1"/>
    <col min="13582" max="13582" width="16.28515625" style="22" bestFit="1" customWidth="1"/>
    <col min="13583" max="13824" width="9.140625" style="22" customWidth="1"/>
    <col min="13825" max="13825" width="12.5703125" style="22" customWidth="1"/>
    <col min="13826" max="13826" width="5.5703125" style="22" bestFit="1" customWidth="1"/>
    <col min="13827" max="13827" width="17.5703125" style="22" bestFit="1" customWidth="1"/>
    <col min="13828" max="13828" width="12.140625" style="22" bestFit="1" customWidth="1"/>
    <col min="13829" max="13829" width="17" style="22" bestFit="1" customWidth="1"/>
    <col min="13830" max="13830" width="13" style="22" bestFit="1" customWidth="1"/>
    <col min="13831" max="13831" width="13.85546875" style="22" bestFit="1" customWidth="1"/>
    <col min="13832" max="13832" width="13.7109375" style="22" bestFit="1" customWidth="1"/>
    <col min="13833" max="13833" width="15.28515625" style="22" customWidth="1"/>
    <col min="13834" max="13834" width="13.7109375" style="22" customWidth="1"/>
    <col min="13835" max="13835" width="16.140625" style="22" bestFit="1" customWidth="1"/>
    <col min="13836" max="13836" width="15.140625" style="22" bestFit="1" customWidth="1"/>
    <col min="13837" max="13837" width="22.28515625" style="22" customWidth="1"/>
    <col min="13838" max="13838" width="16.28515625" style="22" bestFit="1" customWidth="1"/>
    <col min="13839" max="14080" width="9.140625" style="22" customWidth="1"/>
    <col min="14081" max="14081" width="12.5703125" style="22" customWidth="1"/>
    <col min="14082" max="14082" width="5.5703125" style="22" bestFit="1" customWidth="1"/>
    <col min="14083" max="14083" width="17.5703125" style="22" bestFit="1" customWidth="1"/>
    <col min="14084" max="14084" width="12.140625" style="22" bestFit="1" customWidth="1"/>
    <col min="14085" max="14085" width="17" style="22" bestFit="1" customWidth="1"/>
    <col min="14086" max="14086" width="13" style="22" bestFit="1" customWidth="1"/>
    <col min="14087" max="14087" width="13.85546875" style="22" bestFit="1" customWidth="1"/>
    <col min="14088" max="14088" width="13.7109375" style="22" bestFit="1" customWidth="1"/>
    <col min="14089" max="14089" width="15.28515625" style="22" customWidth="1"/>
    <col min="14090" max="14090" width="13.7109375" style="22" customWidth="1"/>
    <col min="14091" max="14091" width="16.140625" style="22" bestFit="1" customWidth="1"/>
    <col min="14092" max="14092" width="15.140625" style="22" bestFit="1" customWidth="1"/>
    <col min="14093" max="14093" width="22.28515625" style="22" customWidth="1"/>
    <col min="14094" max="14094" width="16.28515625" style="22" bestFit="1" customWidth="1"/>
    <col min="14095" max="14336" width="9.140625" style="22" customWidth="1"/>
    <col min="14337" max="14337" width="12.5703125" style="22" customWidth="1"/>
    <col min="14338" max="14338" width="5.5703125" style="22" bestFit="1" customWidth="1"/>
    <col min="14339" max="14339" width="17.5703125" style="22" bestFit="1" customWidth="1"/>
    <col min="14340" max="14340" width="12.140625" style="22" bestFit="1" customWidth="1"/>
    <col min="14341" max="14341" width="17" style="22" bestFit="1" customWidth="1"/>
    <col min="14342" max="14342" width="13" style="22" bestFit="1" customWidth="1"/>
    <col min="14343" max="14343" width="13.85546875" style="22" bestFit="1" customWidth="1"/>
    <col min="14344" max="14344" width="13.7109375" style="22" bestFit="1" customWidth="1"/>
    <col min="14345" max="14345" width="15.28515625" style="22" customWidth="1"/>
    <col min="14346" max="14346" width="13.7109375" style="22" customWidth="1"/>
    <col min="14347" max="14347" width="16.140625" style="22" bestFit="1" customWidth="1"/>
    <col min="14348" max="14348" width="15.140625" style="22" bestFit="1" customWidth="1"/>
    <col min="14349" max="14349" width="22.28515625" style="22" customWidth="1"/>
    <col min="14350" max="14350" width="16.28515625" style="22" bestFit="1" customWidth="1"/>
    <col min="14351" max="14592" width="9.140625" style="22" customWidth="1"/>
    <col min="14593" max="14593" width="12.5703125" style="22" customWidth="1"/>
    <col min="14594" max="14594" width="5.5703125" style="22" bestFit="1" customWidth="1"/>
    <col min="14595" max="14595" width="17.5703125" style="22" bestFit="1" customWidth="1"/>
    <col min="14596" max="14596" width="12.140625" style="22" bestFit="1" customWidth="1"/>
    <col min="14597" max="14597" width="17" style="22" bestFit="1" customWidth="1"/>
    <col min="14598" max="14598" width="13" style="22" bestFit="1" customWidth="1"/>
    <col min="14599" max="14599" width="13.85546875" style="22" bestFit="1" customWidth="1"/>
    <col min="14600" max="14600" width="13.7109375" style="22" bestFit="1" customWidth="1"/>
    <col min="14601" max="14601" width="15.28515625" style="22" customWidth="1"/>
    <col min="14602" max="14602" width="13.7109375" style="22" customWidth="1"/>
    <col min="14603" max="14603" width="16.140625" style="22" bestFit="1" customWidth="1"/>
    <col min="14604" max="14604" width="15.140625" style="22" bestFit="1" customWidth="1"/>
    <col min="14605" max="14605" width="22.28515625" style="22" customWidth="1"/>
    <col min="14606" max="14606" width="16.28515625" style="22" bestFit="1" customWidth="1"/>
    <col min="14607" max="14848" width="9.140625" style="22" customWidth="1"/>
    <col min="14849" max="14849" width="12.5703125" style="22" customWidth="1"/>
    <col min="14850" max="14850" width="5.5703125" style="22" bestFit="1" customWidth="1"/>
    <col min="14851" max="14851" width="17.5703125" style="22" bestFit="1" customWidth="1"/>
    <col min="14852" max="14852" width="12.140625" style="22" bestFit="1" customWidth="1"/>
    <col min="14853" max="14853" width="17" style="22" bestFit="1" customWidth="1"/>
    <col min="14854" max="14854" width="13" style="22" bestFit="1" customWidth="1"/>
    <col min="14855" max="14855" width="13.85546875" style="22" bestFit="1" customWidth="1"/>
    <col min="14856" max="14856" width="13.7109375" style="22" bestFit="1" customWidth="1"/>
    <col min="14857" max="14857" width="15.28515625" style="22" customWidth="1"/>
    <col min="14858" max="14858" width="13.7109375" style="22" customWidth="1"/>
    <col min="14859" max="14859" width="16.140625" style="22" bestFit="1" customWidth="1"/>
    <col min="14860" max="14860" width="15.140625" style="22" bestFit="1" customWidth="1"/>
    <col min="14861" max="14861" width="22.28515625" style="22" customWidth="1"/>
    <col min="14862" max="14862" width="16.28515625" style="22" bestFit="1" customWidth="1"/>
    <col min="14863" max="15104" width="9.140625" style="22" customWidth="1"/>
    <col min="15105" max="15105" width="12.5703125" style="22" customWidth="1"/>
    <col min="15106" max="15106" width="5.5703125" style="22" bestFit="1" customWidth="1"/>
    <col min="15107" max="15107" width="17.5703125" style="22" bestFit="1" customWidth="1"/>
    <col min="15108" max="15108" width="12.140625" style="22" bestFit="1" customWidth="1"/>
    <col min="15109" max="15109" width="17" style="22" bestFit="1" customWidth="1"/>
    <col min="15110" max="15110" width="13" style="22" bestFit="1" customWidth="1"/>
    <col min="15111" max="15111" width="13.85546875" style="22" bestFit="1" customWidth="1"/>
    <col min="15112" max="15112" width="13.7109375" style="22" bestFit="1" customWidth="1"/>
    <col min="15113" max="15113" width="15.28515625" style="22" customWidth="1"/>
    <col min="15114" max="15114" width="13.7109375" style="22" customWidth="1"/>
    <col min="15115" max="15115" width="16.140625" style="22" bestFit="1" customWidth="1"/>
    <col min="15116" max="15116" width="15.140625" style="22" bestFit="1" customWidth="1"/>
    <col min="15117" max="15117" width="22.28515625" style="22" customWidth="1"/>
    <col min="15118" max="15118" width="16.28515625" style="22" bestFit="1" customWidth="1"/>
    <col min="15119" max="15360" width="9.140625" style="22" customWidth="1"/>
    <col min="15361" max="15361" width="12.5703125" style="22" customWidth="1"/>
    <col min="15362" max="15362" width="5.5703125" style="22" bestFit="1" customWidth="1"/>
    <col min="15363" max="15363" width="17.5703125" style="22" bestFit="1" customWidth="1"/>
    <col min="15364" max="15364" width="12.140625" style="22" bestFit="1" customWidth="1"/>
    <col min="15365" max="15365" width="17" style="22" bestFit="1" customWidth="1"/>
    <col min="15366" max="15366" width="13" style="22" bestFit="1" customWidth="1"/>
    <col min="15367" max="15367" width="13.85546875" style="22" bestFit="1" customWidth="1"/>
    <col min="15368" max="15368" width="13.7109375" style="22" bestFit="1" customWidth="1"/>
    <col min="15369" max="15369" width="15.28515625" style="22" customWidth="1"/>
    <col min="15370" max="15370" width="13.7109375" style="22" customWidth="1"/>
    <col min="15371" max="15371" width="16.140625" style="22" bestFit="1" customWidth="1"/>
    <col min="15372" max="15372" width="15.140625" style="22" bestFit="1" customWidth="1"/>
    <col min="15373" max="15373" width="22.28515625" style="22" customWidth="1"/>
    <col min="15374" max="15374" width="16.28515625" style="22" bestFit="1" customWidth="1"/>
    <col min="15375" max="15616" width="9.140625" style="22" customWidth="1"/>
    <col min="15617" max="15617" width="12.5703125" style="22" customWidth="1"/>
    <col min="15618" max="15618" width="5.5703125" style="22" bestFit="1" customWidth="1"/>
    <col min="15619" max="15619" width="17.5703125" style="22" bestFit="1" customWidth="1"/>
    <col min="15620" max="15620" width="12.140625" style="22" bestFit="1" customWidth="1"/>
    <col min="15621" max="15621" width="17" style="22" bestFit="1" customWidth="1"/>
    <col min="15622" max="15622" width="13" style="22" bestFit="1" customWidth="1"/>
    <col min="15623" max="15623" width="13.85546875" style="22" bestFit="1" customWidth="1"/>
    <col min="15624" max="15624" width="13.7109375" style="22" bestFit="1" customWidth="1"/>
    <col min="15625" max="15625" width="15.28515625" style="22" customWidth="1"/>
    <col min="15626" max="15626" width="13.7109375" style="22" customWidth="1"/>
    <col min="15627" max="15627" width="16.140625" style="22" bestFit="1" customWidth="1"/>
    <col min="15628" max="15628" width="15.140625" style="22" bestFit="1" customWidth="1"/>
    <col min="15629" max="15629" width="22.28515625" style="22" customWidth="1"/>
    <col min="15630" max="15630" width="16.28515625" style="22" bestFit="1" customWidth="1"/>
    <col min="15631" max="15872" width="9.140625" style="22" customWidth="1"/>
    <col min="15873" max="15873" width="12.5703125" style="22" customWidth="1"/>
    <col min="15874" max="15874" width="5.5703125" style="22" bestFit="1" customWidth="1"/>
    <col min="15875" max="15875" width="17.5703125" style="22" bestFit="1" customWidth="1"/>
    <col min="15876" max="15876" width="12.140625" style="22" bestFit="1" customWidth="1"/>
    <col min="15877" max="15877" width="17" style="22" bestFit="1" customWidth="1"/>
    <col min="15878" max="15878" width="13" style="22" bestFit="1" customWidth="1"/>
    <col min="15879" max="15879" width="13.85546875" style="22" bestFit="1" customWidth="1"/>
    <col min="15880" max="15880" width="13.7109375" style="22" bestFit="1" customWidth="1"/>
    <col min="15881" max="15881" width="15.28515625" style="22" customWidth="1"/>
    <col min="15882" max="15882" width="13.7109375" style="22" customWidth="1"/>
    <col min="15883" max="15883" width="16.140625" style="22" bestFit="1" customWidth="1"/>
    <col min="15884" max="15884" width="15.140625" style="22" bestFit="1" customWidth="1"/>
    <col min="15885" max="15885" width="22.28515625" style="22" customWidth="1"/>
    <col min="15886" max="15886" width="16.28515625" style="22" bestFit="1" customWidth="1"/>
    <col min="15887" max="16128" width="9.140625" style="22" customWidth="1"/>
    <col min="16129" max="16129" width="12.5703125" style="22" customWidth="1"/>
    <col min="16130" max="16130" width="5.5703125" style="22" bestFit="1" customWidth="1"/>
    <col min="16131" max="16131" width="17.5703125" style="22" bestFit="1" customWidth="1"/>
    <col min="16132" max="16132" width="12.140625" style="22" bestFit="1" customWidth="1"/>
    <col min="16133" max="16133" width="17" style="22" bestFit="1" customWidth="1"/>
    <col min="16134" max="16134" width="13" style="22" bestFit="1" customWidth="1"/>
    <col min="16135" max="16135" width="13.85546875" style="22" bestFit="1" customWidth="1"/>
    <col min="16136" max="16136" width="13.7109375" style="22" bestFit="1" customWidth="1"/>
    <col min="16137" max="16137" width="15.28515625" style="22" customWidth="1"/>
    <col min="16138" max="16138" width="13.7109375" style="22" customWidth="1"/>
    <col min="16139" max="16139" width="16.140625" style="22" bestFit="1" customWidth="1"/>
    <col min="16140" max="16140" width="15.140625" style="22" bestFit="1" customWidth="1"/>
    <col min="16141" max="16141" width="22.28515625" style="22" customWidth="1"/>
    <col min="16142" max="16142" width="16.28515625" style="22" bestFit="1" customWidth="1"/>
    <col min="16143" max="16384" width="9.140625" style="22" customWidth="1"/>
  </cols>
  <sheetData>
    <row r="1" spans="1:24" x14ac:dyDescent="0.25">
      <c r="A1" s="122" t="s">
        <v>46</v>
      </c>
      <c r="G1" s="22" t="s">
        <v>47</v>
      </c>
      <c r="H1" s="122" t="s">
        <v>48</v>
      </c>
      <c r="P1" s="18" t="s">
        <v>85</v>
      </c>
      <c r="Q1" s="18"/>
      <c r="R1" s="18"/>
      <c r="S1" s="18"/>
      <c r="T1" s="18"/>
      <c r="U1" s="18"/>
      <c r="V1" s="18"/>
      <c r="W1" s="18"/>
      <c r="X1" s="18"/>
    </row>
    <row r="2" spans="1:24" ht="16.5" thickBot="1" x14ac:dyDescent="0.3">
      <c r="A2" s="123"/>
      <c r="B2" s="66" t="s">
        <v>0</v>
      </c>
      <c r="C2" s="66" t="s">
        <v>17</v>
      </c>
      <c r="D2" s="66" t="s">
        <v>50</v>
      </c>
      <c r="E2" s="66" t="s">
        <v>168</v>
      </c>
      <c r="F2" s="66" t="s">
        <v>169</v>
      </c>
      <c r="G2" s="66" t="s">
        <v>170</v>
      </c>
      <c r="H2" s="66" t="s">
        <v>54</v>
      </c>
      <c r="I2" s="66" t="s">
        <v>55</v>
      </c>
      <c r="J2" s="66" t="s">
        <v>56</v>
      </c>
      <c r="K2" s="66" t="s">
        <v>57</v>
      </c>
      <c r="L2" s="124" t="s">
        <v>135</v>
      </c>
      <c r="M2" s="124" t="s">
        <v>171</v>
      </c>
      <c r="N2" s="124" t="s">
        <v>172</v>
      </c>
      <c r="P2" s="18"/>
      <c r="Q2" s="18"/>
      <c r="R2" s="18"/>
      <c r="S2" s="18"/>
      <c r="T2" s="18"/>
      <c r="U2" s="18"/>
      <c r="V2" s="18"/>
      <c r="W2" s="18"/>
      <c r="X2" s="18"/>
    </row>
    <row r="3" spans="1:24" x14ac:dyDescent="0.25">
      <c r="A3" s="125"/>
      <c r="B3" s="126"/>
      <c r="C3" s="35"/>
      <c r="D3" s="127"/>
      <c r="E3" s="127"/>
      <c r="F3" s="127"/>
      <c r="G3" s="127"/>
      <c r="H3" s="127"/>
      <c r="I3" s="144">
        <f>Q18</f>
        <v>32.251203097807021</v>
      </c>
      <c r="J3" s="144">
        <f>Q17</f>
        <v>76.475886470145156</v>
      </c>
      <c r="K3" s="128"/>
      <c r="L3" s="129"/>
      <c r="M3" s="129"/>
      <c r="N3" s="129"/>
      <c r="P3" s="130" t="s">
        <v>86</v>
      </c>
      <c r="Q3" s="130"/>
      <c r="R3" s="18"/>
      <c r="S3" s="18"/>
      <c r="T3" s="18"/>
      <c r="U3" s="18"/>
      <c r="V3" s="18"/>
      <c r="W3" s="18"/>
      <c r="X3" s="18"/>
    </row>
    <row r="4" spans="1:24" x14ac:dyDescent="0.25">
      <c r="A4" s="131" t="s">
        <v>173</v>
      </c>
      <c r="B4" s="126">
        <v>1</v>
      </c>
      <c r="C4" s="35">
        <v>118</v>
      </c>
      <c r="D4" s="39"/>
      <c r="E4" s="39"/>
      <c r="F4" s="39"/>
      <c r="G4" s="39">
        <f>$G$25</f>
        <v>0.93008743815061479</v>
      </c>
      <c r="H4" s="39">
        <f t="shared" ref="H4:H15" si="0">C4/G4</f>
        <v>126.86979219355023</v>
      </c>
      <c r="I4" s="127"/>
      <c r="J4" s="127"/>
      <c r="K4" s="38">
        <f>($J$3+$I$3*B4)*G4</f>
        <v>101.12570019382908</v>
      </c>
      <c r="L4" s="132">
        <f>C4-K4</f>
        <v>16.874299806170924</v>
      </c>
      <c r="M4" s="132">
        <f>ABS(K4)</f>
        <v>101.12570019382908</v>
      </c>
      <c r="N4" s="132">
        <f>M4^2</f>
        <v>10226.407239692202</v>
      </c>
      <c r="P4" s="133" t="s">
        <v>87</v>
      </c>
      <c r="Q4" s="133">
        <v>0.98901891560294408</v>
      </c>
      <c r="R4" s="18"/>
      <c r="S4" s="18"/>
      <c r="T4" s="18"/>
      <c r="U4" s="18"/>
      <c r="V4" s="18"/>
      <c r="W4" s="18"/>
      <c r="X4" s="18"/>
    </row>
    <row r="5" spans="1:24" x14ac:dyDescent="0.25">
      <c r="A5" s="131" t="s">
        <v>174</v>
      </c>
      <c r="B5" s="126">
        <v>2</v>
      </c>
      <c r="C5" s="35">
        <v>160</v>
      </c>
      <c r="D5" s="39"/>
      <c r="E5" s="39"/>
      <c r="F5" s="39"/>
      <c r="G5" s="39">
        <f>$G$26</f>
        <v>1.2018037756387929</v>
      </c>
      <c r="H5" s="39">
        <f t="shared" si="0"/>
        <v>133.1332146256201</v>
      </c>
      <c r="I5" s="127"/>
      <c r="J5" s="127"/>
      <c r="K5" s="38">
        <f t="shared" ref="K5:K15" si="1">($J$3+$I$3*B5)*G5</f>
        <v>169.42824440882015</v>
      </c>
      <c r="L5" s="132">
        <f t="shared" ref="L5:L20" si="2">C5-K5</f>
        <v>-9.4282444088201487</v>
      </c>
      <c r="M5" s="132">
        <f t="shared" ref="M5:M20" si="3">ABS(K5)</f>
        <v>169.42824440882015</v>
      </c>
      <c r="N5" s="132">
        <f t="shared" ref="N5:N20" si="4">M5^2</f>
        <v>28705.930003454894</v>
      </c>
      <c r="P5" s="133" t="s">
        <v>88</v>
      </c>
      <c r="Q5" s="133">
        <v>0.97815841542042348</v>
      </c>
      <c r="R5" s="18"/>
      <c r="S5" s="18"/>
      <c r="T5" s="18"/>
      <c r="U5" s="18"/>
      <c r="V5" s="18"/>
      <c r="W5" s="18"/>
      <c r="X5" s="18"/>
    </row>
    <row r="6" spans="1:24" x14ac:dyDescent="0.25">
      <c r="A6" s="131" t="s">
        <v>175</v>
      </c>
      <c r="B6" s="126">
        <v>3</v>
      </c>
      <c r="C6" s="35">
        <v>193</v>
      </c>
      <c r="D6" s="39">
        <f t="shared" ref="D6:D14" si="5">AVERAGE(C4:C7)</f>
        <v>144.5</v>
      </c>
      <c r="E6" s="39">
        <f t="shared" ref="E6:E13" si="6">AVERAGE(D6:D7)</f>
        <v>158.5</v>
      </c>
      <c r="F6" s="39">
        <f t="shared" ref="F6:F13" si="7">C6/E6</f>
        <v>1.2176656151419558</v>
      </c>
      <c r="G6" s="39">
        <f>$G$27</f>
        <v>1.3333559855188506</v>
      </c>
      <c r="H6" s="39">
        <f t="shared" si="0"/>
        <v>144.74754086388839</v>
      </c>
      <c r="I6" s="127"/>
      <c r="J6" s="127"/>
      <c r="K6" s="38">
        <f>($J$3+$I$3*B6)*G6</f>
        <v>230.97658504476337</v>
      </c>
      <c r="L6" s="132">
        <f t="shared" si="2"/>
        <v>-37.976585044763368</v>
      </c>
      <c r="M6" s="132">
        <f t="shared" si="3"/>
        <v>230.97658504476337</v>
      </c>
      <c r="N6" s="132">
        <f t="shared" si="4"/>
        <v>53350.182838940804</v>
      </c>
      <c r="P6" s="133" t="s">
        <v>89</v>
      </c>
      <c r="Q6" s="133">
        <v>0.97597425696246576</v>
      </c>
      <c r="R6" s="18"/>
      <c r="S6" s="18"/>
      <c r="T6" s="18"/>
      <c r="U6" s="18"/>
      <c r="V6" s="18"/>
      <c r="W6" s="18"/>
      <c r="X6" s="18"/>
    </row>
    <row r="7" spans="1:24" x14ac:dyDescent="0.25">
      <c r="A7" s="131" t="s">
        <v>176</v>
      </c>
      <c r="B7" s="126">
        <v>4</v>
      </c>
      <c r="C7" s="35">
        <v>107</v>
      </c>
      <c r="D7" s="39">
        <f t="shared" si="5"/>
        <v>172.5</v>
      </c>
      <c r="E7" s="39">
        <f t="shared" si="6"/>
        <v>194.125</v>
      </c>
      <c r="F7" s="39">
        <f t="shared" si="7"/>
        <v>0.55119124275595621</v>
      </c>
      <c r="G7" s="39">
        <f>$G$28</f>
        <v>0.53475280069174147</v>
      </c>
      <c r="H7" s="39">
        <f t="shared" si="0"/>
        <v>200.09245367502098</v>
      </c>
      <c r="I7" s="127"/>
      <c r="J7" s="127"/>
      <c r="K7" s="38">
        <f>($J$3+$I$3*B7)*G7</f>
        <v>109.88137920421568</v>
      </c>
      <c r="L7" s="132">
        <f t="shared" si="2"/>
        <v>-2.8813792042156763</v>
      </c>
      <c r="M7" s="132">
        <f t="shared" si="3"/>
        <v>109.88137920421568</v>
      </c>
      <c r="N7" s="132">
        <f t="shared" si="4"/>
        <v>12073.91749582064</v>
      </c>
      <c r="O7" s="24"/>
      <c r="P7" s="133" t="s">
        <v>90</v>
      </c>
      <c r="Q7" s="133">
        <v>18.224323351705195</v>
      </c>
      <c r="R7" s="18"/>
      <c r="S7" s="18"/>
      <c r="T7" s="18"/>
      <c r="U7" s="18"/>
      <c r="V7" s="18"/>
      <c r="W7" s="18"/>
      <c r="X7" s="18"/>
    </row>
    <row r="8" spans="1:24" ht="16.5" thickBot="1" x14ac:dyDescent="0.3">
      <c r="A8" s="131" t="s">
        <v>177</v>
      </c>
      <c r="B8" s="126">
        <v>5</v>
      </c>
      <c r="C8" s="35">
        <v>230</v>
      </c>
      <c r="D8" s="39">
        <f t="shared" si="5"/>
        <v>215.75</v>
      </c>
      <c r="E8" s="39">
        <f t="shared" si="6"/>
        <v>245.375</v>
      </c>
      <c r="F8" s="39">
        <f t="shared" si="7"/>
        <v>0.93734080489047378</v>
      </c>
      <c r="G8" s="39">
        <f>$G$25</f>
        <v>0.93008743815061479</v>
      </c>
      <c r="H8" s="39">
        <f t="shared" si="0"/>
        <v>247.28857800437757</v>
      </c>
      <c r="I8" s="127"/>
      <c r="J8" s="127"/>
      <c r="K8" s="38">
        <f t="shared" si="1"/>
        <v>221.1114556598871</v>
      </c>
      <c r="L8" s="132">
        <f t="shared" si="2"/>
        <v>8.888544340112901</v>
      </c>
      <c r="M8" s="132">
        <f t="shared" si="3"/>
        <v>221.1114556598871</v>
      </c>
      <c r="N8" s="132">
        <f t="shared" si="4"/>
        <v>48890.275824034215</v>
      </c>
      <c r="O8" s="24"/>
      <c r="P8" s="134" t="s">
        <v>91</v>
      </c>
      <c r="Q8" s="134">
        <v>12</v>
      </c>
      <c r="R8" s="18"/>
      <c r="S8" s="18"/>
      <c r="T8" s="18"/>
      <c r="U8" s="18"/>
      <c r="V8" s="18"/>
      <c r="W8" s="18"/>
      <c r="X8" s="18"/>
    </row>
    <row r="9" spans="1:24" x14ac:dyDescent="0.25">
      <c r="A9" s="131" t="s">
        <v>178</v>
      </c>
      <c r="B9" s="126">
        <v>6</v>
      </c>
      <c r="C9" s="35">
        <v>333</v>
      </c>
      <c r="D9" s="39">
        <f t="shared" si="5"/>
        <v>275</v>
      </c>
      <c r="E9" s="39">
        <f t="shared" si="6"/>
        <v>282.875</v>
      </c>
      <c r="F9" s="39">
        <f t="shared" si="7"/>
        <v>1.177198409191339</v>
      </c>
      <c r="G9" s="39">
        <f>$G$26</f>
        <v>1.2018037756387929</v>
      </c>
      <c r="H9" s="39">
        <f t="shared" si="0"/>
        <v>277.08350293957182</v>
      </c>
      <c r="I9" s="127"/>
      <c r="J9" s="127"/>
      <c r="K9" s="38">
        <f t="shared" si="1"/>
        <v>324.46671501617215</v>
      </c>
      <c r="L9" s="132">
        <f t="shared" si="2"/>
        <v>8.5332849838278548</v>
      </c>
      <c r="M9" s="132">
        <f t="shared" si="3"/>
        <v>324.46671501617215</v>
      </c>
      <c r="N9" s="132">
        <f t="shared" si="4"/>
        <v>105278.64915338586</v>
      </c>
      <c r="O9" s="24"/>
      <c r="P9" s="18"/>
      <c r="Q9" s="18"/>
      <c r="R9" s="18"/>
      <c r="S9" s="18"/>
      <c r="T9" s="18"/>
      <c r="U9" s="18"/>
      <c r="V9" s="18"/>
      <c r="W9" s="18"/>
      <c r="X9" s="18"/>
    </row>
    <row r="10" spans="1:24" ht="16.5" thickBot="1" x14ac:dyDescent="0.3">
      <c r="A10" s="131" t="s">
        <v>179</v>
      </c>
      <c r="B10" s="126">
        <v>7</v>
      </c>
      <c r="C10" s="35">
        <v>430</v>
      </c>
      <c r="D10" s="39">
        <f t="shared" si="5"/>
        <v>290.75</v>
      </c>
      <c r="E10" s="39">
        <f t="shared" si="6"/>
        <v>304.5</v>
      </c>
      <c r="F10" s="39">
        <f t="shared" si="7"/>
        <v>1.4121510673234812</v>
      </c>
      <c r="G10" s="39">
        <f>$G$27</f>
        <v>1.3333559855188506</v>
      </c>
      <c r="H10" s="39">
        <f t="shared" si="0"/>
        <v>322.4945210957099</v>
      </c>
      <c r="I10" s="127"/>
      <c r="J10" s="127"/>
      <c r="K10" s="38">
        <f t="shared" si="1"/>
        <v>402.98592380734374</v>
      </c>
      <c r="L10" s="132">
        <f t="shared" si="2"/>
        <v>27.014076192656262</v>
      </c>
      <c r="M10" s="132">
        <f t="shared" si="3"/>
        <v>402.98592380734374</v>
      </c>
      <c r="N10" s="132">
        <f t="shared" si="4"/>
        <v>162397.65478685824</v>
      </c>
      <c r="O10" s="24"/>
      <c r="P10" s="18" t="s">
        <v>92</v>
      </c>
      <c r="Q10" s="18"/>
      <c r="R10" s="18"/>
      <c r="S10" s="18"/>
      <c r="T10" s="18"/>
      <c r="U10" s="18"/>
      <c r="V10" s="18"/>
      <c r="W10" s="18"/>
      <c r="X10" s="18"/>
    </row>
    <row r="11" spans="1:24" x14ac:dyDescent="0.25">
      <c r="A11" s="131" t="s">
        <v>180</v>
      </c>
      <c r="B11" s="126">
        <v>8</v>
      </c>
      <c r="C11" s="35">
        <v>170</v>
      </c>
      <c r="D11" s="39">
        <f t="shared" si="5"/>
        <v>318.25</v>
      </c>
      <c r="E11" s="39">
        <f t="shared" si="6"/>
        <v>337.625</v>
      </c>
      <c r="F11" s="39">
        <f t="shared" si="7"/>
        <v>0.50351721584598297</v>
      </c>
      <c r="G11" s="39">
        <f>$G$28</f>
        <v>0.53475280069174147</v>
      </c>
      <c r="H11" s="39">
        <f t="shared" si="0"/>
        <v>317.90389836218287</v>
      </c>
      <c r="I11" s="127"/>
      <c r="J11" s="127"/>
      <c r="K11" s="38">
        <f t="shared" si="1"/>
        <v>178.86706393313756</v>
      </c>
      <c r="L11" s="132">
        <f t="shared" si="2"/>
        <v>-8.8670639331375583</v>
      </c>
      <c r="M11" s="132">
        <f t="shared" si="3"/>
        <v>178.86706393313756</v>
      </c>
      <c r="N11" s="132">
        <f t="shared" si="4"/>
        <v>31993.426560061118</v>
      </c>
      <c r="O11" s="24"/>
      <c r="P11" s="135"/>
      <c r="Q11" s="135" t="s">
        <v>93</v>
      </c>
      <c r="R11" s="135" t="s">
        <v>94</v>
      </c>
      <c r="S11" s="135" t="s">
        <v>95</v>
      </c>
      <c r="T11" s="135" t="s">
        <v>96</v>
      </c>
      <c r="U11" s="135" t="s">
        <v>97</v>
      </c>
      <c r="V11" s="18"/>
      <c r="W11" s="18"/>
      <c r="X11" s="18"/>
    </row>
    <row r="12" spans="1:24" x14ac:dyDescent="0.25">
      <c r="A12" s="131" t="s">
        <v>181</v>
      </c>
      <c r="B12" s="126">
        <v>9</v>
      </c>
      <c r="C12" s="35">
        <v>340</v>
      </c>
      <c r="D12" s="39">
        <f t="shared" si="5"/>
        <v>357</v>
      </c>
      <c r="E12" s="39">
        <f t="shared" si="6"/>
        <v>379</v>
      </c>
      <c r="F12" s="39">
        <f t="shared" si="7"/>
        <v>0.8970976253298153</v>
      </c>
      <c r="G12" s="39">
        <f>$G$25</f>
        <v>0.93008743815061479</v>
      </c>
      <c r="H12" s="39">
        <f t="shared" si="0"/>
        <v>365.55702835429724</v>
      </c>
      <c r="I12" s="127"/>
      <c r="J12" s="127"/>
      <c r="K12" s="38">
        <f t="shared" si="1"/>
        <v>341.09721112594514</v>
      </c>
      <c r="L12" s="132">
        <f t="shared" si="2"/>
        <v>-1.0972111259451367</v>
      </c>
      <c r="M12" s="132">
        <f t="shared" si="3"/>
        <v>341.09721112594514</v>
      </c>
      <c r="N12" s="132">
        <f t="shared" si="4"/>
        <v>116347.30743789759</v>
      </c>
      <c r="O12" s="24"/>
      <c r="P12" s="133" t="s">
        <v>98</v>
      </c>
      <c r="Q12" s="133">
        <v>1</v>
      </c>
      <c r="R12" s="133">
        <v>148740.03447960762</v>
      </c>
      <c r="S12" s="133">
        <v>148740.03447960762</v>
      </c>
      <c r="T12" s="133">
        <v>447.84223958506925</v>
      </c>
      <c r="U12" s="133">
        <v>1.2345584889997207E-9</v>
      </c>
      <c r="V12" s="18"/>
      <c r="W12" s="18"/>
      <c r="X12" s="18"/>
    </row>
    <row r="13" spans="1:24" x14ac:dyDescent="0.25">
      <c r="A13" s="131" t="s">
        <v>182</v>
      </c>
      <c r="B13" s="126">
        <v>10</v>
      </c>
      <c r="C13" s="35">
        <v>488</v>
      </c>
      <c r="D13" s="39">
        <f t="shared" si="5"/>
        <v>401</v>
      </c>
      <c r="E13" s="39">
        <f t="shared" si="6"/>
        <v>409</v>
      </c>
      <c r="F13" s="39">
        <f t="shared" si="7"/>
        <v>1.1931540342298288</v>
      </c>
      <c r="G13" s="39">
        <f>$G$26</f>
        <v>1.2018037756387929</v>
      </c>
      <c r="H13" s="39">
        <f t="shared" si="0"/>
        <v>406.05630460814132</v>
      </c>
      <c r="I13" s="127"/>
      <c r="J13" s="127"/>
      <c r="K13" s="38">
        <f t="shared" si="1"/>
        <v>479.50518562352431</v>
      </c>
      <c r="L13" s="132">
        <f t="shared" si="2"/>
        <v>8.4948143764756878</v>
      </c>
      <c r="M13" s="132">
        <f t="shared" si="3"/>
        <v>479.50518562352431</v>
      </c>
      <c r="N13" s="132">
        <f t="shared" si="4"/>
        <v>229925.22303985051</v>
      </c>
      <c r="O13" s="24"/>
      <c r="P13" s="133" t="s">
        <v>99</v>
      </c>
      <c r="Q13" s="133">
        <v>10</v>
      </c>
      <c r="R13" s="133">
        <v>3321.2596162750724</v>
      </c>
      <c r="S13" s="133">
        <v>332.12596162750725</v>
      </c>
      <c r="T13" s="133"/>
      <c r="U13" s="133"/>
      <c r="V13" s="18"/>
      <c r="W13" s="18"/>
      <c r="X13" s="18"/>
    </row>
    <row r="14" spans="1:24" ht="16.5" thickBot="1" x14ac:dyDescent="0.3">
      <c r="A14" s="131" t="s">
        <v>183</v>
      </c>
      <c r="B14" s="126">
        <v>11</v>
      </c>
      <c r="C14" s="35">
        <v>606</v>
      </c>
      <c r="D14" s="39">
        <f t="shared" si="5"/>
        <v>417</v>
      </c>
      <c r="E14" s="39"/>
      <c r="F14" s="39"/>
      <c r="G14" s="39">
        <f>$G$27</f>
        <v>1.3333559855188506</v>
      </c>
      <c r="H14" s="39">
        <f t="shared" si="0"/>
        <v>454.49227856744227</v>
      </c>
      <c r="I14" s="127"/>
      <c r="J14" s="127"/>
      <c r="K14" s="38">
        <f t="shared" si="1"/>
        <v>574.99526256992408</v>
      </c>
      <c r="L14" s="132">
        <f t="shared" si="2"/>
        <v>31.00473743007592</v>
      </c>
      <c r="M14" s="132">
        <f t="shared" si="3"/>
        <v>574.99526256992408</v>
      </c>
      <c r="N14" s="132">
        <f t="shared" si="4"/>
        <v>330619.55197785591</v>
      </c>
      <c r="O14" s="24"/>
      <c r="P14" s="134" t="s">
        <v>100</v>
      </c>
      <c r="Q14" s="134">
        <v>11</v>
      </c>
      <c r="R14" s="134">
        <v>152061.29409588271</v>
      </c>
      <c r="S14" s="134"/>
      <c r="T14" s="134"/>
      <c r="U14" s="134"/>
      <c r="V14" s="18"/>
      <c r="W14" s="18"/>
      <c r="X14" s="18"/>
    </row>
    <row r="15" spans="1:24" ht="16.5" thickBot="1" x14ac:dyDescent="0.3">
      <c r="A15" s="131" t="s">
        <v>184</v>
      </c>
      <c r="B15" s="126">
        <v>12</v>
      </c>
      <c r="C15" s="35">
        <v>234</v>
      </c>
      <c r="D15" s="39"/>
      <c r="E15" s="39"/>
      <c r="F15" s="39"/>
      <c r="G15" s="39">
        <f>$G$28</f>
        <v>0.53475280069174147</v>
      </c>
      <c r="H15" s="39">
        <f t="shared" si="0"/>
        <v>437.58536598088699</v>
      </c>
      <c r="I15" s="127"/>
      <c r="J15" s="127"/>
      <c r="K15" s="38">
        <f t="shared" si="1"/>
        <v>247.85274866205947</v>
      </c>
      <c r="L15" s="132">
        <f t="shared" si="2"/>
        <v>-13.852748662059469</v>
      </c>
      <c r="M15" s="132">
        <f t="shared" si="3"/>
        <v>247.85274866205947</v>
      </c>
      <c r="N15" s="132">
        <f t="shared" si="4"/>
        <v>61430.985019338019</v>
      </c>
      <c r="O15" s="24"/>
      <c r="P15" s="18"/>
      <c r="Q15" s="18"/>
      <c r="R15" s="18"/>
      <c r="S15" s="18"/>
      <c r="T15" s="18"/>
      <c r="U15" s="18"/>
      <c r="V15" s="18"/>
      <c r="W15" s="18"/>
      <c r="X15" s="18"/>
    </row>
    <row r="16" spans="1:24" ht="17.25" customHeight="1" thickBot="1" x14ac:dyDescent="0.3">
      <c r="A16" s="136"/>
      <c r="B16" s="136"/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24"/>
      <c r="P16" s="135"/>
      <c r="Q16" s="135" t="s">
        <v>101</v>
      </c>
      <c r="R16" s="135" t="s">
        <v>90</v>
      </c>
      <c r="S16" s="135" t="s">
        <v>102</v>
      </c>
      <c r="T16" s="135" t="s">
        <v>103</v>
      </c>
      <c r="U16" s="135" t="s">
        <v>104</v>
      </c>
      <c r="V16" s="135" t="s">
        <v>105</v>
      </c>
      <c r="W16" s="135" t="s">
        <v>106</v>
      </c>
      <c r="X16" s="135" t="s">
        <v>107</v>
      </c>
    </row>
    <row r="17" spans="1:24" x14ac:dyDescent="0.25">
      <c r="A17" s="141" t="s">
        <v>185</v>
      </c>
      <c r="B17" s="142">
        <v>13</v>
      </c>
      <c r="C17" s="41">
        <v>441</v>
      </c>
      <c r="D17" s="42"/>
      <c r="E17" s="42"/>
      <c r="F17" s="42"/>
      <c r="G17" s="42">
        <f>$G$25</f>
        <v>0.93008743815061479</v>
      </c>
      <c r="H17" s="42"/>
      <c r="I17" s="41"/>
      <c r="J17" s="41"/>
      <c r="K17" s="42">
        <f>($J$3+$I$3*B17)*G17</f>
        <v>461.08296659200312</v>
      </c>
      <c r="L17" s="143">
        <f t="shared" si="2"/>
        <v>-20.082966592003118</v>
      </c>
      <c r="M17" s="143">
        <f t="shared" si="3"/>
        <v>461.08296659200312</v>
      </c>
      <c r="N17" s="143">
        <f t="shared" si="4"/>
        <v>212597.50208128226</v>
      </c>
      <c r="O17" s="24"/>
      <c r="P17" s="133" t="s">
        <v>108</v>
      </c>
      <c r="Q17" s="133">
        <v>76.475886470145156</v>
      </c>
      <c r="R17" s="133">
        <v>11.216295667254315</v>
      </c>
      <c r="S17" s="133">
        <v>6.8182837488329175</v>
      </c>
      <c r="T17" s="133">
        <v>4.6352728456173935E-5</v>
      </c>
      <c r="U17" s="133">
        <v>51.484422425802848</v>
      </c>
      <c r="V17" s="133">
        <v>101.46735051448746</v>
      </c>
      <c r="W17" s="133">
        <v>51.484422425802848</v>
      </c>
      <c r="X17" s="133">
        <v>101.46735051448746</v>
      </c>
    </row>
    <row r="18" spans="1:24" ht="16.5" thickBot="1" x14ac:dyDescent="0.3">
      <c r="A18" s="141" t="s">
        <v>186</v>
      </c>
      <c r="B18" s="142">
        <v>14</v>
      </c>
      <c r="C18" s="41">
        <v>629</v>
      </c>
      <c r="D18" s="42"/>
      <c r="E18" s="42"/>
      <c r="F18" s="42"/>
      <c r="G18" s="42">
        <f>$G$26</f>
        <v>1.2018037756387929</v>
      </c>
      <c r="H18" s="42"/>
      <c r="I18" s="41"/>
      <c r="J18" s="41"/>
      <c r="K18" s="42">
        <f>($J$3+$I$3*B18)*G18</f>
        <v>634.54365623087631</v>
      </c>
      <c r="L18" s="143">
        <f t="shared" si="2"/>
        <v>-5.5436562308763087</v>
      </c>
      <c r="M18" s="143">
        <f t="shared" si="3"/>
        <v>634.54365623087631</v>
      </c>
      <c r="N18" s="143">
        <f t="shared" si="4"/>
        <v>402645.65166284854</v>
      </c>
      <c r="O18" s="24"/>
      <c r="P18" s="134" t="s">
        <v>109</v>
      </c>
      <c r="Q18" s="134">
        <v>32.251203097807021</v>
      </c>
      <c r="R18" s="134">
        <v>1.5239944790649114</v>
      </c>
      <c r="S18" s="134">
        <v>21.162283420866217</v>
      </c>
      <c r="T18" s="134">
        <v>1.2345584889997207E-9</v>
      </c>
      <c r="U18" s="134">
        <v>28.855531803359916</v>
      </c>
      <c r="V18" s="134">
        <v>35.646874392254126</v>
      </c>
      <c r="W18" s="134">
        <v>28.855531803359916</v>
      </c>
      <c r="X18" s="134">
        <v>35.646874392254126</v>
      </c>
    </row>
    <row r="19" spans="1:24" x14ac:dyDescent="0.25">
      <c r="A19" s="141" t="s">
        <v>187</v>
      </c>
      <c r="B19" s="142">
        <v>15</v>
      </c>
      <c r="C19" s="41">
        <v>781</v>
      </c>
      <c r="D19" s="42"/>
      <c r="E19" s="42"/>
      <c r="F19" s="42"/>
      <c r="G19" s="42">
        <f>$G$27</f>
        <v>1.3333559855188506</v>
      </c>
      <c r="H19" s="42"/>
      <c r="I19" s="41"/>
      <c r="J19" s="41"/>
      <c r="K19" s="42">
        <f>($J$3+$I$3*B19)*G19</f>
        <v>747.00460133250454</v>
      </c>
      <c r="L19" s="143">
        <f t="shared" si="2"/>
        <v>33.995398667495465</v>
      </c>
      <c r="M19" s="143">
        <f t="shared" si="3"/>
        <v>747.00460133250454</v>
      </c>
      <c r="N19" s="143">
        <f t="shared" si="4"/>
        <v>558015.87441193406</v>
      </c>
      <c r="O19" s="24"/>
      <c r="P19" s="18"/>
      <c r="Q19" s="18"/>
      <c r="R19" s="18"/>
      <c r="S19" s="18"/>
      <c r="T19" s="18"/>
      <c r="U19" s="18"/>
      <c r="V19" s="18"/>
      <c r="W19" s="18"/>
      <c r="X19" s="18"/>
    </row>
    <row r="20" spans="1:24" x14ac:dyDescent="0.25">
      <c r="A20" s="141" t="s">
        <v>188</v>
      </c>
      <c r="B20" s="142">
        <v>16</v>
      </c>
      <c r="C20" s="41">
        <v>302</v>
      </c>
      <c r="D20" s="42"/>
      <c r="E20" s="42"/>
      <c r="F20" s="42"/>
      <c r="G20" s="42">
        <f>$G$28</f>
        <v>0.53475280069174147</v>
      </c>
      <c r="H20" s="42"/>
      <c r="I20" s="41"/>
      <c r="J20" s="41"/>
      <c r="K20" s="42">
        <f>($J$3+$I$3*B20)*G20</f>
        <v>316.83843339098138</v>
      </c>
      <c r="L20" s="143">
        <f t="shared" si="2"/>
        <v>-14.838433390981379</v>
      </c>
      <c r="M20" s="143">
        <f t="shared" si="3"/>
        <v>316.83843339098138</v>
      </c>
      <c r="N20" s="143">
        <f t="shared" si="4"/>
        <v>100386.59287365135</v>
      </c>
      <c r="O20" s="24"/>
      <c r="P20" s="18"/>
      <c r="Q20" s="18"/>
      <c r="R20" s="18"/>
      <c r="S20" s="18"/>
      <c r="T20" s="18"/>
      <c r="U20" s="18"/>
      <c r="V20" s="18"/>
      <c r="W20" s="18"/>
      <c r="X20" s="18"/>
    </row>
    <row r="21" spans="1:24" x14ac:dyDescent="0.25">
      <c r="N21" s="24"/>
      <c r="O21" s="24"/>
      <c r="P21" s="18"/>
      <c r="Q21" s="18"/>
      <c r="R21" s="18"/>
      <c r="S21" s="18"/>
      <c r="T21" s="18"/>
      <c r="U21" s="18"/>
      <c r="V21" s="18"/>
      <c r="W21" s="18"/>
      <c r="X21" s="18"/>
    </row>
    <row r="22" spans="1:24" x14ac:dyDescent="0.25">
      <c r="M22" s="137" t="s">
        <v>142</v>
      </c>
      <c r="N22" s="137" t="s">
        <v>166</v>
      </c>
      <c r="O22" s="24"/>
      <c r="P22" s="24"/>
      <c r="Q22" s="24"/>
      <c r="R22" s="24"/>
      <c r="S22" s="24"/>
      <c r="T22" s="24"/>
      <c r="U22" s="24"/>
      <c r="V22" s="24"/>
      <c r="W22" s="24"/>
    </row>
    <row r="23" spans="1:24" x14ac:dyDescent="0.25">
      <c r="G23" s="23" t="s">
        <v>47</v>
      </c>
      <c r="L23" s="24"/>
      <c r="M23" s="111">
        <f>AVERAGE(M17:M20)</f>
        <v>539.86741438659135</v>
      </c>
      <c r="N23" s="111">
        <f>AVERAGE(N17:N20)</f>
        <v>318411.40525742905</v>
      </c>
      <c r="O23" s="24"/>
      <c r="P23" s="24"/>
      <c r="Q23" s="24"/>
      <c r="R23" s="24"/>
      <c r="S23" s="24"/>
      <c r="T23" s="24"/>
      <c r="U23" s="24"/>
      <c r="V23" s="24"/>
      <c r="W23" s="24"/>
    </row>
    <row r="24" spans="1:24" x14ac:dyDescent="0.25">
      <c r="C24" s="112"/>
      <c r="D24" s="113"/>
      <c r="E24" s="113" t="s">
        <v>78</v>
      </c>
      <c r="F24" s="113" t="s">
        <v>79</v>
      </c>
      <c r="G24" s="114" t="s">
        <v>189</v>
      </c>
      <c r="L24" s="25"/>
    </row>
    <row r="25" spans="1:24" x14ac:dyDescent="0.25">
      <c r="C25" s="115" t="s">
        <v>80</v>
      </c>
      <c r="D25" s="26"/>
      <c r="E25" s="27">
        <f>AVERAGE(F8,F12)</f>
        <v>0.91721921511014459</v>
      </c>
      <c r="F25" s="26"/>
      <c r="G25" s="116">
        <f>E25/F$29</f>
        <v>0.93008743815061479</v>
      </c>
      <c r="L25" s="25"/>
    </row>
    <row r="26" spans="1:24" x14ac:dyDescent="0.25">
      <c r="C26" s="115" t="s">
        <v>81</v>
      </c>
      <c r="D26" s="26"/>
      <c r="E26" s="27">
        <f>AVERAGE(F9,F13)</f>
        <v>1.1851762217105839</v>
      </c>
      <c r="F26" s="26"/>
      <c r="G26" s="116">
        <f>E26/F$29</f>
        <v>1.2018037756387929</v>
      </c>
      <c r="L26" s="25"/>
    </row>
    <row r="27" spans="1:24" x14ac:dyDescent="0.25">
      <c r="C27" s="115" t="s">
        <v>82</v>
      </c>
      <c r="D27" s="26"/>
      <c r="E27" s="27">
        <f>AVERAGE(F6,F10)</f>
        <v>1.3149083412327185</v>
      </c>
      <c r="F27" s="26"/>
      <c r="G27" s="116">
        <f>E27/F$29</f>
        <v>1.3333559855188506</v>
      </c>
      <c r="L27" s="24"/>
    </row>
    <row r="28" spans="1:24" x14ac:dyDescent="0.25">
      <c r="C28" s="115" t="s">
        <v>83</v>
      </c>
      <c r="D28" s="26"/>
      <c r="E28" s="27">
        <f>AVERAGE(F7,F11)</f>
        <v>0.52735422930096965</v>
      </c>
      <c r="F28" s="26"/>
      <c r="G28" s="116">
        <f>E28/F$29</f>
        <v>0.53475280069174147</v>
      </c>
    </row>
    <row r="29" spans="1:24" x14ac:dyDescent="0.25">
      <c r="C29" s="117"/>
      <c r="D29" s="118"/>
      <c r="E29" s="118"/>
      <c r="F29" s="119">
        <f>AVERAGE(E25:E28)</f>
        <v>0.98616450183860416</v>
      </c>
      <c r="G29" s="120"/>
    </row>
    <row r="31" spans="1:24" x14ac:dyDescent="0.25">
      <c r="C31" s="24"/>
      <c r="D31" s="24"/>
      <c r="E31" s="24"/>
      <c r="F31" s="25" t="s">
        <v>84</v>
      </c>
      <c r="G31" s="121">
        <f>SUM(G25:G28)</f>
        <v>4</v>
      </c>
      <c r="H31" s="28" t="s">
        <v>190</v>
      </c>
      <c r="I31" s="24"/>
      <c r="J31" s="24"/>
      <c r="K31" s="24"/>
      <c r="L31" s="24"/>
    </row>
    <row r="32" spans="1:24" x14ac:dyDescent="0.25">
      <c r="C32" s="24"/>
      <c r="D32" s="24"/>
      <c r="E32" s="24"/>
      <c r="F32" s="25"/>
      <c r="G32" s="121"/>
      <c r="H32" s="28"/>
      <c r="I32" s="24"/>
      <c r="J32" s="24"/>
      <c r="K32" s="24"/>
      <c r="L32" s="24"/>
    </row>
    <row r="33" spans="3:12" x14ac:dyDescent="0.25">
      <c r="C33" s="18"/>
      <c r="D33" s="18"/>
      <c r="E33" s="18"/>
      <c r="F33" s="138"/>
      <c r="G33" s="139"/>
      <c r="H33" s="140"/>
      <c r="I33" s="18"/>
      <c r="J33" s="18"/>
      <c r="K33" s="18"/>
      <c r="L33" s="18"/>
    </row>
    <row r="34" spans="3:12" x14ac:dyDescent="0.25">
      <c r="D34" s="18"/>
      <c r="E34" s="18"/>
      <c r="F34" s="18"/>
      <c r="G34" s="18"/>
      <c r="H34" s="18"/>
      <c r="I34" s="18"/>
      <c r="J34" s="18"/>
      <c r="K34" s="18"/>
      <c r="L34" s="18"/>
    </row>
    <row r="55" spans="4:12" x14ac:dyDescent="0.25">
      <c r="D55" s="18"/>
      <c r="E55" s="18"/>
      <c r="F55" s="18"/>
      <c r="G55" s="18"/>
      <c r="H55" s="18"/>
      <c r="I55" s="18"/>
      <c r="J55" s="18"/>
      <c r="K55" s="18"/>
      <c r="L55" s="1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O18" sqref="O18"/>
    </sheetView>
  </sheetViews>
  <sheetFormatPr baseColWidth="10" defaultRowHeight="15.75" x14ac:dyDescent="0.25"/>
  <cols>
    <col min="1" max="1" width="12.28515625" style="24" customWidth="1"/>
    <col min="2" max="7" width="9.140625" style="24" customWidth="1"/>
    <col min="8" max="8" width="14.28515625" style="24" bestFit="1" customWidth="1"/>
    <col min="9" max="9" width="13.42578125" style="24" customWidth="1"/>
    <col min="10" max="10" width="9.140625" style="24" customWidth="1"/>
    <col min="11" max="11" width="11.5703125" style="24" customWidth="1"/>
    <col min="12" max="12" width="10" style="24" customWidth="1"/>
    <col min="13" max="266" width="9.140625" style="24" customWidth="1"/>
    <col min="267" max="267" width="11.5703125" style="24" customWidth="1"/>
    <col min="268" max="268" width="10" style="24" customWidth="1"/>
    <col min="269" max="522" width="9.140625" style="24" customWidth="1"/>
    <col min="523" max="523" width="11.5703125" style="24" customWidth="1"/>
    <col min="524" max="524" width="10" style="24" customWidth="1"/>
    <col min="525" max="778" width="9.140625" style="24" customWidth="1"/>
    <col min="779" max="779" width="11.5703125" style="24" customWidth="1"/>
    <col min="780" max="780" width="10" style="24" customWidth="1"/>
    <col min="781" max="1034" width="9.140625" style="24" customWidth="1"/>
    <col min="1035" max="1035" width="11.5703125" style="24" customWidth="1"/>
    <col min="1036" max="1036" width="10" style="24" customWidth="1"/>
    <col min="1037" max="1290" width="9.140625" style="24" customWidth="1"/>
    <col min="1291" max="1291" width="11.5703125" style="24" customWidth="1"/>
    <col min="1292" max="1292" width="10" style="24" customWidth="1"/>
    <col min="1293" max="1546" width="9.140625" style="24" customWidth="1"/>
    <col min="1547" max="1547" width="11.5703125" style="24" customWidth="1"/>
    <col min="1548" max="1548" width="10" style="24" customWidth="1"/>
    <col min="1549" max="1802" width="9.140625" style="24" customWidth="1"/>
    <col min="1803" max="1803" width="11.5703125" style="24" customWidth="1"/>
    <col min="1804" max="1804" width="10" style="24" customWidth="1"/>
    <col min="1805" max="2058" width="9.140625" style="24" customWidth="1"/>
    <col min="2059" max="2059" width="11.5703125" style="24" customWidth="1"/>
    <col min="2060" max="2060" width="10" style="24" customWidth="1"/>
    <col min="2061" max="2314" width="9.140625" style="24" customWidth="1"/>
    <col min="2315" max="2315" width="11.5703125" style="24" customWidth="1"/>
    <col min="2316" max="2316" width="10" style="24" customWidth="1"/>
    <col min="2317" max="2570" width="9.140625" style="24" customWidth="1"/>
    <col min="2571" max="2571" width="11.5703125" style="24" customWidth="1"/>
    <col min="2572" max="2572" width="10" style="24" customWidth="1"/>
    <col min="2573" max="2826" width="9.140625" style="24" customWidth="1"/>
    <col min="2827" max="2827" width="11.5703125" style="24" customWidth="1"/>
    <col min="2828" max="2828" width="10" style="24" customWidth="1"/>
    <col min="2829" max="3082" width="9.140625" style="24" customWidth="1"/>
    <col min="3083" max="3083" width="11.5703125" style="24" customWidth="1"/>
    <col min="3084" max="3084" width="10" style="24" customWidth="1"/>
    <col min="3085" max="3338" width="9.140625" style="24" customWidth="1"/>
    <col min="3339" max="3339" width="11.5703125" style="24" customWidth="1"/>
    <col min="3340" max="3340" width="10" style="24" customWidth="1"/>
    <col min="3341" max="3594" width="9.140625" style="24" customWidth="1"/>
    <col min="3595" max="3595" width="11.5703125" style="24" customWidth="1"/>
    <col min="3596" max="3596" width="10" style="24" customWidth="1"/>
    <col min="3597" max="3850" width="9.140625" style="24" customWidth="1"/>
    <col min="3851" max="3851" width="11.5703125" style="24" customWidth="1"/>
    <col min="3852" max="3852" width="10" style="24" customWidth="1"/>
    <col min="3853" max="4106" width="9.140625" style="24" customWidth="1"/>
    <col min="4107" max="4107" width="11.5703125" style="24" customWidth="1"/>
    <col min="4108" max="4108" width="10" style="24" customWidth="1"/>
    <col min="4109" max="4362" width="9.140625" style="24" customWidth="1"/>
    <col min="4363" max="4363" width="11.5703125" style="24" customWidth="1"/>
    <col min="4364" max="4364" width="10" style="24" customWidth="1"/>
    <col min="4365" max="4618" width="9.140625" style="24" customWidth="1"/>
    <col min="4619" max="4619" width="11.5703125" style="24" customWidth="1"/>
    <col min="4620" max="4620" width="10" style="24" customWidth="1"/>
    <col min="4621" max="4874" width="9.140625" style="24" customWidth="1"/>
    <col min="4875" max="4875" width="11.5703125" style="24" customWidth="1"/>
    <col min="4876" max="4876" width="10" style="24" customWidth="1"/>
    <col min="4877" max="5130" width="9.140625" style="24" customWidth="1"/>
    <col min="5131" max="5131" width="11.5703125" style="24" customWidth="1"/>
    <col min="5132" max="5132" width="10" style="24" customWidth="1"/>
    <col min="5133" max="5386" width="9.140625" style="24" customWidth="1"/>
    <col min="5387" max="5387" width="11.5703125" style="24" customWidth="1"/>
    <col min="5388" max="5388" width="10" style="24" customWidth="1"/>
    <col min="5389" max="5642" width="9.140625" style="24" customWidth="1"/>
    <col min="5643" max="5643" width="11.5703125" style="24" customWidth="1"/>
    <col min="5644" max="5644" width="10" style="24" customWidth="1"/>
    <col min="5645" max="5898" width="9.140625" style="24" customWidth="1"/>
    <col min="5899" max="5899" width="11.5703125" style="24" customWidth="1"/>
    <col min="5900" max="5900" width="10" style="24" customWidth="1"/>
    <col min="5901" max="6154" width="9.140625" style="24" customWidth="1"/>
    <col min="6155" max="6155" width="11.5703125" style="24" customWidth="1"/>
    <col min="6156" max="6156" width="10" style="24" customWidth="1"/>
    <col min="6157" max="6410" width="9.140625" style="24" customWidth="1"/>
    <col min="6411" max="6411" width="11.5703125" style="24" customWidth="1"/>
    <col min="6412" max="6412" width="10" style="24" customWidth="1"/>
    <col min="6413" max="6666" width="9.140625" style="24" customWidth="1"/>
    <col min="6667" max="6667" width="11.5703125" style="24" customWidth="1"/>
    <col min="6668" max="6668" width="10" style="24" customWidth="1"/>
    <col min="6669" max="6922" width="9.140625" style="24" customWidth="1"/>
    <col min="6923" max="6923" width="11.5703125" style="24" customWidth="1"/>
    <col min="6924" max="6924" width="10" style="24" customWidth="1"/>
    <col min="6925" max="7178" width="9.140625" style="24" customWidth="1"/>
    <col min="7179" max="7179" width="11.5703125" style="24" customWidth="1"/>
    <col min="7180" max="7180" width="10" style="24" customWidth="1"/>
    <col min="7181" max="7434" width="9.140625" style="24" customWidth="1"/>
    <col min="7435" max="7435" width="11.5703125" style="24" customWidth="1"/>
    <col min="7436" max="7436" width="10" style="24" customWidth="1"/>
    <col min="7437" max="7690" width="9.140625" style="24" customWidth="1"/>
    <col min="7691" max="7691" width="11.5703125" style="24" customWidth="1"/>
    <col min="7692" max="7692" width="10" style="24" customWidth="1"/>
    <col min="7693" max="7946" width="9.140625" style="24" customWidth="1"/>
    <col min="7947" max="7947" width="11.5703125" style="24" customWidth="1"/>
    <col min="7948" max="7948" width="10" style="24" customWidth="1"/>
    <col min="7949" max="8202" width="9.140625" style="24" customWidth="1"/>
    <col min="8203" max="8203" width="11.5703125" style="24" customWidth="1"/>
    <col min="8204" max="8204" width="10" style="24" customWidth="1"/>
    <col min="8205" max="8458" width="9.140625" style="24" customWidth="1"/>
    <col min="8459" max="8459" width="11.5703125" style="24" customWidth="1"/>
    <col min="8460" max="8460" width="10" style="24" customWidth="1"/>
    <col min="8461" max="8714" width="9.140625" style="24" customWidth="1"/>
    <col min="8715" max="8715" width="11.5703125" style="24" customWidth="1"/>
    <col min="8716" max="8716" width="10" style="24" customWidth="1"/>
    <col min="8717" max="8970" width="9.140625" style="24" customWidth="1"/>
    <col min="8971" max="8971" width="11.5703125" style="24" customWidth="1"/>
    <col min="8972" max="8972" width="10" style="24" customWidth="1"/>
    <col min="8973" max="9226" width="9.140625" style="24" customWidth="1"/>
    <col min="9227" max="9227" width="11.5703125" style="24" customWidth="1"/>
    <col min="9228" max="9228" width="10" style="24" customWidth="1"/>
    <col min="9229" max="9482" width="9.140625" style="24" customWidth="1"/>
    <col min="9483" max="9483" width="11.5703125" style="24" customWidth="1"/>
    <col min="9484" max="9484" width="10" style="24" customWidth="1"/>
    <col min="9485" max="9738" width="9.140625" style="24" customWidth="1"/>
    <col min="9739" max="9739" width="11.5703125" style="24" customWidth="1"/>
    <col min="9740" max="9740" width="10" style="24" customWidth="1"/>
    <col min="9741" max="9994" width="9.140625" style="24" customWidth="1"/>
    <col min="9995" max="9995" width="11.5703125" style="24" customWidth="1"/>
    <col min="9996" max="9996" width="10" style="24" customWidth="1"/>
    <col min="9997" max="10250" width="9.140625" style="24" customWidth="1"/>
    <col min="10251" max="10251" width="11.5703125" style="24" customWidth="1"/>
    <col min="10252" max="10252" width="10" style="24" customWidth="1"/>
    <col min="10253" max="10506" width="9.140625" style="24" customWidth="1"/>
    <col min="10507" max="10507" width="11.5703125" style="24" customWidth="1"/>
    <col min="10508" max="10508" width="10" style="24" customWidth="1"/>
    <col min="10509" max="10762" width="9.140625" style="24" customWidth="1"/>
    <col min="10763" max="10763" width="11.5703125" style="24" customWidth="1"/>
    <col min="10764" max="10764" width="10" style="24" customWidth="1"/>
    <col min="10765" max="11018" width="9.140625" style="24" customWidth="1"/>
    <col min="11019" max="11019" width="11.5703125" style="24" customWidth="1"/>
    <col min="11020" max="11020" width="10" style="24" customWidth="1"/>
    <col min="11021" max="11274" width="9.140625" style="24" customWidth="1"/>
    <col min="11275" max="11275" width="11.5703125" style="24" customWidth="1"/>
    <col min="11276" max="11276" width="10" style="24" customWidth="1"/>
    <col min="11277" max="11530" width="9.140625" style="24" customWidth="1"/>
    <col min="11531" max="11531" width="11.5703125" style="24" customWidth="1"/>
    <col min="11532" max="11532" width="10" style="24" customWidth="1"/>
    <col min="11533" max="11786" width="9.140625" style="24" customWidth="1"/>
    <col min="11787" max="11787" width="11.5703125" style="24" customWidth="1"/>
    <col min="11788" max="11788" width="10" style="24" customWidth="1"/>
    <col min="11789" max="12042" width="9.140625" style="24" customWidth="1"/>
    <col min="12043" max="12043" width="11.5703125" style="24" customWidth="1"/>
    <col min="12044" max="12044" width="10" style="24" customWidth="1"/>
    <col min="12045" max="12298" width="9.140625" style="24" customWidth="1"/>
    <col min="12299" max="12299" width="11.5703125" style="24" customWidth="1"/>
    <col min="12300" max="12300" width="10" style="24" customWidth="1"/>
    <col min="12301" max="12554" width="9.140625" style="24" customWidth="1"/>
    <col min="12555" max="12555" width="11.5703125" style="24" customWidth="1"/>
    <col min="12556" max="12556" width="10" style="24" customWidth="1"/>
    <col min="12557" max="12810" width="9.140625" style="24" customWidth="1"/>
    <col min="12811" max="12811" width="11.5703125" style="24" customWidth="1"/>
    <col min="12812" max="12812" width="10" style="24" customWidth="1"/>
    <col min="12813" max="13066" width="9.140625" style="24" customWidth="1"/>
    <col min="13067" max="13067" width="11.5703125" style="24" customWidth="1"/>
    <col min="13068" max="13068" width="10" style="24" customWidth="1"/>
    <col min="13069" max="13322" width="9.140625" style="24" customWidth="1"/>
    <col min="13323" max="13323" width="11.5703125" style="24" customWidth="1"/>
    <col min="13324" max="13324" width="10" style="24" customWidth="1"/>
    <col min="13325" max="13578" width="9.140625" style="24" customWidth="1"/>
    <col min="13579" max="13579" width="11.5703125" style="24" customWidth="1"/>
    <col min="13580" max="13580" width="10" style="24" customWidth="1"/>
    <col min="13581" max="13834" width="9.140625" style="24" customWidth="1"/>
    <col min="13835" max="13835" width="11.5703125" style="24" customWidth="1"/>
    <col min="13836" max="13836" width="10" style="24" customWidth="1"/>
    <col min="13837" max="14090" width="9.140625" style="24" customWidth="1"/>
    <col min="14091" max="14091" width="11.5703125" style="24" customWidth="1"/>
    <col min="14092" max="14092" width="10" style="24" customWidth="1"/>
    <col min="14093" max="14346" width="9.140625" style="24" customWidth="1"/>
    <col min="14347" max="14347" width="11.5703125" style="24" customWidth="1"/>
    <col min="14348" max="14348" width="10" style="24" customWidth="1"/>
    <col min="14349" max="14602" width="9.140625" style="24" customWidth="1"/>
    <col min="14603" max="14603" width="11.5703125" style="24" customWidth="1"/>
    <col min="14604" max="14604" width="10" style="24" customWidth="1"/>
    <col min="14605" max="14858" width="9.140625" style="24" customWidth="1"/>
    <col min="14859" max="14859" width="11.5703125" style="24" customWidth="1"/>
    <col min="14860" max="14860" width="10" style="24" customWidth="1"/>
    <col min="14861" max="15114" width="9.140625" style="24" customWidth="1"/>
    <col min="15115" max="15115" width="11.5703125" style="24" customWidth="1"/>
    <col min="15116" max="15116" width="10" style="24" customWidth="1"/>
    <col min="15117" max="15370" width="9.140625" style="24" customWidth="1"/>
    <col min="15371" max="15371" width="11.5703125" style="24" customWidth="1"/>
    <col min="15372" max="15372" width="10" style="24" customWidth="1"/>
    <col min="15373" max="15626" width="9.140625" style="24" customWidth="1"/>
    <col min="15627" max="15627" width="11.5703125" style="24" customWidth="1"/>
    <col min="15628" max="15628" width="10" style="24" customWidth="1"/>
    <col min="15629" max="15882" width="9.140625" style="24" customWidth="1"/>
    <col min="15883" max="15883" width="11.5703125" style="24" customWidth="1"/>
    <col min="15884" max="15884" width="10" style="24" customWidth="1"/>
    <col min="15885" max="16138" width="9.140625" style="24" customWidth="1"/>
    <col min="16139" max="16139" width="11.5703125" style="24" customWidth="1"/>
    <col min="16140" max="16140" width="10" style="24" customWidth="1"/>
    <col min="16141" max="16384" width="9.140625" style="24" customWidth="1"/>
  </cols>
  <sheetData>
    <row r="1" spans="1:14" ht="16.5" thickBot="1" x14ac:dyDescent="0.3">
      <c r="A1" s="170" t="s">
        <v>150</v>
      </c>
      <c r="B1" s="171">
        <v>0.4</v>
      </c>
      <c r="D1" s="170" t="s">
        <v>151</v>
      </c>
      <c r="E1" s="171">
        <f>AVERAGE(C11:C14)</f>
        <v>144.5</v>
      </c>
      <c r="G1" s="176" t="s">
        <v>164</v>
      </c>
      <c r="H1" s="177"/>
      <c r="I1" s="178">
        <f>AVERAGE(C15:C18)</f>
        <v>290.75</v>
      </c>
      <c r="K1" s="170" t="s">
        <v>191</v>
      </c>
      <c r="L1" s="171">
        <f>C11/$E$1</f>
        <v>0.81660899653979235</v>
      </c>
    </row>
    <row r="2" spans="1:14" ht="16.5" thickBot="1" x14ac:dyDescent="0.3">
      <c r="A2" s="172" t="s">
        <v>152</v>
      </c>
      <c r="B2" s="173">
        <v>0.5</v>
      </c>
      <c r="D2" s="174" t="s">
        <v>153</v>
      </c>
      <c r="E2" s="175">
        <f>(I1-E1)/4</f>
        <v>36.5625</v>
      </c>
      <c r="K2" s="172" t="s">
        <v>192</v>
      </c>
      <c r="L2" s="173">
        <f>C12/$E$1</f>
        <v>1.1072664359861593</v>
      </c>
    </row>
    <row r="3" spans="1:14" ht="16.5" thickBot="1" x14ac:dyDescent="0.3">
      <c r="A3" s="174" t="s">
        <v>154</v>
      </c>
      <c r="B3" s="175">
        <v>0.6</v>
      </c>
      <c r="K3" s="172" t="s">
        <v>193</v>
      </c>
      <c r="L3" s="173">
        <f>C13/$E$1</f>
        <v>1.3356401384083045</v>
      </c>
    </row>
    <row r="4" spans="1:14" ht="16.5" thickBot="1" x14ac:dyDescent="0.3">
      <c r="A4" s="36"/>
      <c r="B4" s="36"/>
      <c r="C4" s="36"/>
      <c r="K4" s="174" t="s">
        <v>194</v>
      </c>
      <c r="L4" s="175">
        <f>C14/$E$1</f>
        <v>0.74048442906574397</v>
      </c>
    </row>
    <row r="5" spans="1:14" x14ac:dyDescent="0.25">
      <c r="A5" s="36"/>
      <c r="B5" s="36"/>
      <c r="C5" s="36"/>
    </row>
    <row r="6" spans="1:14" s="29" customFormat="1" ht="16.5" thickBot="1" x14ac:dyDescent="0.3">
      <c r="A6" s="162"/>
      <c r="B6" s="66" t="s">
        <v>0</v>
      </c>
      <c r="C6" s="66" t="s">
        <v>17</v>
      </c>
      <c r="D6" s="66" t="s">
        <v>156</v>
      </c>
      <c r="E6" s="66" t="s">
        <v>157</v>
      </c>
      <c r="F6" s="66" t="s">
        <v>158</v>
      </c>
      <c r="G6" s="66" t="s">
        <v>159</v>
      </c>
      <c r="H6" s="147" t="s">
        <v>160</v>
      </c>
      <c r="I6" s="147" t="s">
        <v>161</v>
      </c>
      <c r="J6" s="147" t="s">
        <v>162</v>
      </c>
      <c r="K6" s="147" t="s">
        <v>138</v>
      </c>
      <c r="L6" s="148"/>
      <c r="M6" s="148"/>
      <c r="N6" s="148"/>
    </row>
    <row r="7" spans="1:14" x14ac:dyDescent="0.25">
      <c r="A7" s="150"/>
      <c r="B7" s="126">
        <v>0</v>
      </c>
      <c r="C7" s="35"/>
      <c r="D7" s="156"/>
      <c r="E7" s="156"/>
      <c r="F7" s="157">
        <v>0.81660899653979235</v>
      </c>
      <c r="G7" s="159"/>
      <c r="H7" s="159"/>
      <c r="I7" s="159"/>
      <c r="J7" s="159"/>
      <c r="K7" s="160"/>
      <c r="L7" s="146"/>
      <c r="M7" s="146"/>
      <c r="N7" s="146"/>
    </row>
    <row r="8" spans="1:14" x14ac:dyDescent="0.25">
      <c r="A8" s="150"/>
      <c r="B8" s="126">
        <v>0</v>
      </c>
      <c r="C8" s="35"/>
      <c r="D8" s="157"/>
      <c r="E8" s="157"/>
      <c r="F8" s="157">
        <v>1.1072664359861593</v>
      </c>
      <c r="G8" s="159"/>
      <c r="H8" s="159"/>
      <c r="I8" s="159"/>
      <c r="J8" s="159"/>
      <c r="K8" s="160"/>
      <c r="L8" s="146"/>
      <c r="M8" s="146"/>
      <c r="N8" s="146"/>
    </row>
    <row r="9" spans="1:14" x14ac:dyDescent="0.25">
      <c r="A9" s="150"/>
      <c r="B9" s="126">
        <v>0</v>
      </c>
      <c r="C9" s="35"/>
      <c r="D9" s="157"/>
      <c r="E9" s="157"/>
      <c r="F9" s="157">
        <v>1.3356401384083045</v>
      </c>
      <c r="G9" s="159"/>
      <c r="H9" s="159"/>
      <c r="I9" s="159"/>
      <c r="J9" s="159"/>
      <c r="K9" s="160"/>
      <c r="L9" s="146"/>
      <c r="M9" s="146"/>
      <c r="N9" s="146"/>
    </row>
    <row r="10" spans="1:14" x14ac:dyDescent="0.25">
      <c r="A10" s="151"/>
      <c r="B10" s="126">
        <v>0</v>
      </c>
      <c r="C10" s="35"/>
      <c r="D10" s="157">
        <v>144.5</v>
      </c>
      <c r="E10" s="157">
        <v>36.5625</v>
      </c>
      <c r="F10" s="158">
        <v>0.74048442906574397</v>
      </c>
      <c r="G10" s="161"/>
      <c r="H10" s="161"/>
      <c r="I10" s="161"/>
      <c r="J10" s="161"/>
      <c r="K10" s="160"/>
      <c r="L10" s="146"/>
      <c r="M10" s="146"/>
      <c r="N10" s="146"/>
    </row>
    <row r="11" spans="1:14" x14ac:dyDescent="0.25">
      <c r="A11" s="152" t="s">
        <v>173</v>
      </c>
      <c r="B11" s="126">
        <v>1</v>
      </c>
      <c r="C11" s="35">
        <v>118</v>
      </c>
      <c r="D11" s="158">
        <f>$B$1*(C11/F7)+(1-$B$1)*(D10+E10)</f>
        <v>166.4375</v>
      </c>
      <c r="E11" s="158">
        <f>$B$2*(D11-D10)+(1-$B$2)*E10</f>
        <v>29.25</v>
      </c>
      <c r="F11" s="158">
        <f>$B$3*(C11/D11)+(1-$B$3)*F7</f>
        <v>0.75202850285925149</v>
      </c>
      <c r="G11" s="161">
        <f>(D10+E10)*F7</f>
        <v>147.85726643598616</v>
      </c>
      <c r="H11" s="163">
        <f>C11-G11</f>
        <v>-29.857266435986162</v>
      </c>
      <c r="I11" s="163">
        <f>ABS(H11)</f>
        <v>29.857266435986162</v>
      </c>
      <c r="J11" s="161">
        <f>H11^2</f>
        <v>891.45635902946583</v>
      </c>
      <c r="K11" s="160"/>
      <c r="L11" s="146"/>
      <c r="M11" s="146"/>
      <c r="N11" s="146"/>
    </row>
    <row r="12" spans="1:14" x14ac:dyDescent="0.25">
      <c r="A12" s="152" t="s">
        <v>174</v>
      </c>
      <c r="B12" s="126">
        <v>2</v>
      </c>
      <c r="C12" s="35">
        <v>160</v>
      </c>
      <c r="D12" s="158">
        <f t="shared" ref="D12:D22" si="0">$B$1*(C12/F8)+(1-$B$1)*(D11+E11)</f>
        <v>175.21250000000001</v>
      </c>
      <c r="E12" s="158">
        <f t="shared" ref="E12:E22" si="1">$B$2*(D12-D11)+(1-$B$2)*E11</f>
        <v>19.012500000000003</v>
      </c>
      <c r="F12" s="158">
        <f t="shared" ref="F12:F22" si="2">$B$3*(C12/D12)+(1-$B$3)*F8</f>
        <v>0.99081268839888681</v>
      </c>
      <c r="G12" s="161">
        <f t="shared" ref="G12:G22" si="3">(D11+E11)*F8</f>
        <v>216.67820069204154</v>
      </c>
      <c r="H12" s="163">
        <f t="shared" ref="H12:H27" si="4">C12-G12</f>
        <v>-56.678200692041543</v>
      </c>
      <c r="I12" s="163">
        <f t="shared" ref="I12:I27" si="5">ABS(H12)</f>
        <v>56.678200692041543</v>
      </c>
      <c r="J12" s="161">
        <f t="shared" ref="J12:J27" si="6">H12^2</f>
        <v>3212.4184336873386</v>
      </c>
      <c r="K12" s="160"/>
      <c r="L12" s="146"/>
      <c r="M12" s="146"/>
      <c r="N12" s="146"/>
    </row>
    <row r="13" spans="1:14" x14ac:dyDescent="0.25">
      <c r="A13" s="152" t="s">
        <v>175</v>
      </c>
      <c r="B13" s="126">
        <v>3</v>
      </c>
      <c r="C13" s="35">
        <v>193</v>
      </c>
      <c r="D13" s="158">
        <f t="shared" si="0"/>
        <v>174.33500000000001</v>
      </c>
      <c r="E13" s="158">
        <f t="shared" si="1"/>
        <v>9.0675000000000026</v>
      </c>
      <c r="F13" s="158">
        <f t="shared" si="2"/>
        <v>1.1984944469656966</v>
      </c>
      <c r="G13" s="161">
        <f t="shared" si="3"/>
        <v>259.41470588235296</v>
      </c>
      <c r="H13" s="163">
        <f t="shared" si="4"/>
        <v>-66.414705882352962</v>
      </c>
      <c r="I13" s="163">
        <f t="shared" si="5"/>
        <v>66.414705882352962</v>
      </c>
      <c r="J13" s="161">
        <f t="shared" si="6"/>
        <v>4410.9131574394487</v>
      </c>
      <c r="K13" s="160"/>
      <c r="L13" s="146"/>
      <c r="M13" s="146"/>
      <c r="N13" s="146"/>
    </row>
    <row r="14" spans="1:14" x14ac:dyDescent="0.25">
      <c r="A14" s="152" t="s">
        <v>176</v>
      </c>
      <c r="B14" s="126">
        <v>4</v>
      </c>
      <c r="C14" s="35">
        <v>107</v>
      </c>
      <c r="D14" s="158">
        <f t="shared" si="0"/>
        <v>167.8415</v>
      </c>
      <c r="E14" s="158">
        <f t="shared" si="1"/>
        <v>1.2869999999999955</v>
      </c>
      <c r="F14" s="158">
        <f t="shared" si="2"/>
        <v>0.67869750282507746</v>
      </c>
      <c r="G14" s="161">
        <f t="shared" si="3"/>
        <v>135.8066955017301</v>
      </c>
      <c r="H14" s="163">
        <f t="shared" si="4"/>
        <v>-28.806695501730104</v>
      </c>
      <c r="I14" s="163">
        <f t="shared" si="5"/>
        <v>28.806695501730104</v>
      </c>
      <c r="J14" s="161">
        <f t="shared" si="6"/>
        <v>829.82570572939744</v>
      </c>
      <c r="K14" s="160"/>
      <c r="L14" s="146"/>
      <c r="M14" s="146"/>
      <c r="N14" s="146"/>
    </row>
    <row r="15" spans="1:14" x14ac:dyDescent="0.25">
      <c r="A15" s="152" t="s">
        <v>177</v>
      </c>
      <c r="B15" s="126">
        <v>5</v>
      </c>
      <c r="C15" s="35">
        <v>230</v>
      </c>
      <c r="D15" s="158">
        <f t="shared" si="0"/>
        <v>223.8128886705241</v>
      </c>
      <c r="E15" s="158">
        <f t="shared" si="1"/>
        <v>28.629194335262049</v>
      </c>
      <c r="F15" s="158">
        <f t="shared" si="2"/>
        <v>0.91739787576425025</v>
      </c>
      <c r="G15" s="161">
        <f t="shared" si="3"/>
        <v>127.18945264583091</v>
      </c>
      <c r="H15" s="163">
        <f t="shared" si="4"/>
        <v>102.81054735416909</v>
      </c>
      <c r="I15" s="163">
        <f t="shared" si="5"/>
        <v>102.81054735416909</v>
      </c>
      <c r="J15" s="161">
        <f t="shared" si="6"/>
        <v>10570.008647263845</v>
      </c>
      <c r="K15" s="160"/>
      <c r="L15" s="146"/>
      <c r="M15" s="146"/>
      <c r="N15" s="146"/>
    </row>
    <row r="16" spans="1:14" x14ac:dyDescent="0.25">
      <c r="A16" s="152" t="s">
        <v>178</v>
      </c>
      <c r="B16" s="126">
        <v>6</v>
      </c>
      <c r="C16" s="35">
        <v>333</v>
      </c>
      <c r="D16" s="158">
        <f t="shared" si="0"/>
        <v>285.9003469309074</v>
      </c>
      <c r="E16" s="158">
        <f t="shared" si="1"/>
        <v>45.358326297822671</v>
      </c>
      <c r="F16" s="158">
        <f t="shared" si="2"/>
        <v>1.0951699775949655</v>
      </c>
      <c r="G16" s="161">
        <f t="shared" si="3"/>
        <v>250.1228189279779</v>
      </c>
      <c r="H16" s="163">
        <f t="shared" si="4"/>
        <v>82.877181072022097</v>
      </c>
      <c r="I16" s="163">
        <f t="shared" si="5"/>
        <v>82.877181072022097</v>
      </c>
      <c r="J16" s="161">
        <f t="shared" si="6"/>
        <v>6868.6271424447377</v>
      </c>
      <c r="K16" s="160"/>
      <c r="L16" s="146"/>
      <c r="M16" s="146"/>
      <c r="N16" s="146"/>
    </row>
    <row r="17" spans="1:14" x14ac:dyDescent="0.25">
      <c r="A17" s="152" t="s">
        <v>179</v>
      </c>
      <c r="B17" s="126">
        <v>7</v>
      </c>
      <c r="C17" s="35">
        <v>430</v>
      </c>
      <c r="D17" s="158">
        <f t="shared" si="0"/>
        <v>342.26859311935993</v>
      </c>
      <c r="E17" s="158">
        <f t="shared" si="1"/>
        <v>50.863286243137601</v>
      </c>
      <c r="F17" s="158">
        <f t="shared" si="2"/>
        <v>1.2331917440713938</v>
      </c>
      <c r="G17" s="161">
        <f t="shared" si="3"/>
        <v>397.01168037385725</v>
      </c>
      <c r="H17" s="163">
        <f t="shared" si="4"/>
        <v>32.988319626142754</v>
      </c>
      <c r="I17" s="163">
        <f t="shared" si="5"/>
        <v>32.988319626142754</v>
      </c>
      <c r="J17" s="161">
        <f t="shared" si="6"/>
        <v>1088.2292317565552</v>
      </c>
      <c r="K17" s="160"/>
      <c r="L17" s="146"/>
      <c r="M17" s="146"/>
      <c r="N17" s="146"/>
    </row>
    <row r="18" spans="1:14" x14ac:dyDescent="0.25">
      <c r="A18" s="152" t="s">
        <v>180</v>
      </c>
      <c r="B18" s="126">
        <v>8</v>
      </c>
      <c r="C18" s="35">
        <v>170</v>
      </c>
      <c r="D18" s="158">
        <f t="shared" si="0"/>
        <v>336.07103891369468</v>
      </c>
      <c r="E18" s="158">
        <f t="shared" si="1"/>
        <v>22.332866018736173</v>
      </c>
      <c r="F18" s="158">
        <f t="shared" si="2"/>
        <v>0.57498626057643121</v>
      </c>
      <c r="G18" s="161">
        <f t="shared" si="3"/>
        <v>266.8176248042567</v>
      </c>
      <c r="H18" s="163">
        <f t="shared" si="4"/>
        <v>-96.817624804256695</v>
      </c>
      <c r="I18" s="163">
        <f t="shared" si="5"/>
        <v>96.817624804256695</v>
      </c>
      <c r="J18" s="161">
        <f t="shared" si="6"/>
        <v>9373.6524727378219</v>
      </c>
      <c r="K18" s="160"/>
      <c r="L18" s="146"/>
      <c r="M18" s="146"/>
      <c r="N18" s="146"/>
    </row>
    <row r="19" spans="1:14" ht="16.5" thickBot="1" x14ac:dyDescent="0.3">
      <c r="A19" s="152" t="s">
        <v>181</v>
      </c>
      <c r="B19" s="126">
        <v>9</v>
      </c>
      <c r="C19" s="35">
        <v>340</v>
      </c>
      <c r="D19" s="158">
        <f t="shared" si="0"/>
        <v>363.28772655237719</v>
      </c>
      <c r="E19" s="158">
        <f t="shared" si="1"/>
        <v>24.774776828709342</v>
      </c>
      <c r="F19" s="158">
        <f t="shared" si="2"/>
        <v>0.92849752633610583</v>
      </c>
      <c r="G19" s="161">
        <f t="shared" si="3"/>
        <v>328.79898105062438</v>
      </c>
      <c r="H19" s="163">
        <f t="shared" si="4"/>
        <v>11.201018949375623</v>
      </c>
      <c r="I19" s="163">
        <f t="shared" si="5"/>
        <v>11.201018949375623</v>
      </c>
      <c r="J19" s="161">
        <f t="shared" si="6"/>
        <v>125.46282550427178</v>
      </c>
      <c r="K19" s="160"/>
      <c r="L19" s="146"/>
      <c r="M19" s="146"/>
      <c r="N19" s="146"/>
    </row>
    <row r="20" spans="1:14" x14ac:dyDescent="0.25">
      <c r="A20" s="152" t="s">
        <v>182</v>
      </c>
      <c r="B20" s="126">
        <v>10</v>
      </c>
      <c r="C20" s="35">
        <v>488</v>
      </c>
      <c r="D20" s="158">
        <f t="shared" si="0"/>
        <v>411.07467433378258</v>
      </c>
      <c r="E20" s="158">
        <f t="shared" si="1"/>
        <v>36.280862305057369</v>
      </c>
      <c r="F20" s="158">
        <f t="shared" si="2"/>
        <v>1.1503473365718186</v>
      </c>
      <c r="G20" s="161">
        <f t="shared" si="3"/>
        <v>424.99440313331075</v>
      </c>
      <c r="H20" s="163">
        <f t="shared" si="4"/>
        <v>63.005596866689245</v>
      </c>
      <c r="I20" s="163">
        <f t="shared" si="5"/>
        <v>63.005596866689245</v>
      </c>
      <c r="J20" s="161">
        <f t="shared" si="6"/>
        <v>3969.7052365277618</v>
      </c>
      <c r="K20" s="160"/>
      <c r="L20" s="164" t="s">
        <v>142</v>
      </c>
      <c r="M20" s="165">
        <f>AVERAGE(I11:I22)</f>
        <v>57.088661935143897</v>
      </c>
      <c r="N20" s="146"/>
    </row>
    <row r="21" spans="1:14" ht="16.5" thickBot="1" x14ac:dyDescent="0.3">
      <c r="A21" s="152" t="s">
        <v>183</v>
      </c>
      <c r="B21" s="126">
        <v>11</v>
      </c>
      <c r="C21" s="35">
        <v>606</v>
      </c>
      <c r="D21" s="158">
        <f t="shared" si="0"/>
        <v>464.97642838208196</v>
      </c>
      <c r="E21" s="158">
        <f t="shared" si="1"/>
        <v>45.091308176678375</v>
      </c>
      <c r="F21" s="158">
        <f t="shared" si="2"/>
        <v>1.2752518211099169</v>
      </c>
      <c r="G21" s="161">
        <f t="shared" si="3"/>
        <v>551.67515444764535</v>
      </c>
      <c r="H21" s="163">
        <f t="shared" si="4"/>
        <v>54.324845552354645</v>
      </c>
      <c r="I21" s="163">
        <f t="shared" si="5"/>
        <v>54.324845552354645</v>
      </c>
      <c r="J21" s="161">
        <f t="shared" si="6"/>
        <v>2951.1888442871864</v>
      </c>
      <c r="K21" s="160"/>
      <c r="L21" s="166" t="s">
        <v>166</v>
      </c>
      <c r="M21" s="167">
        <f>AVERAGE(J11:J22)</f>
        <v>3983.8197103356811</v>
      </c>
      <c r="N21" s="146"/>
    </row>
    <row r="22" spans="1:14" x14ac:dyDescent="0.25">
      <c r="A22" s="131" t="s">
        <v>184</v>
      </c>
      <c r="B22" s="126">
        <v>12</v>
      </c>
      <c r="C22" s="35">
        <v>234</v>
      </c>
      <c r="D22" s="158">
        <f t="shared" si="0"/>
        <v>468.82714035726156</v>
      </c>
      <c r="E22" s="158">
        <f t="shared" si="1"/>
        <v>24.471010075928984</v>
      </c>
      <c r="F22" s="158">
        <f t="shared" si="2"/>
        <v>0.52946522150391684</v>
      </c>
      <c r="G22" s="161">
        <f t="shared" si="3"/>
        <v>293.2819404846058</v>
      </c>
      <c r="H22" s="163">
        <f t="shared" si="4"/>
        <v>-59.281940484605798</v>
      </c>
      <c r="I22" s="163">
        <f t="shared" si="5"/>
        <v>59.281940484605798</v>
      </c>
      <c r="J22" s="161">
        <f t="shared" si="6"/>
        <v>3514.3484676203439</v>
      </c>
      <c r="K22" s="160"/>
      <c r="L22" s="146"/>
      <c r="M22" s="146"/>
      <c r="N22" s="146"/>
    </row>
    <row r="23" spans="1:14" ht="16.5" thickBot="1" x14ac:dyDescent="0.3">
      <c r="A23" s="149"/>
      <c r="B23" s="123"/>
      <c r="C23" s="30"/>
      <c r="D23" s="145"/>
      <c r="E23" s="145"/>
      <c r="F23" s="145"/>
      <c r="G23" s="145"/>
      <c r="H23" s="145"/>
      <c r="I23" s="145"/>
      <c r="J23" s="145"/>
      <c r="K23" s="179"/>
      <c r="L23" s="146"/>
      <c r="M23" s="146"/>
      <c r="N23" s="146"/>
    </row>
    <row r="24" spans="1:14" x14ac:dyDescent="0.25">
      <c r="A24" s="153" t="s">
        <v>185</v>
      </c>
      <c r="B24" s="142">
        <v>13</v>
      </c>
      <c r="C24" s="41">
        <v>441</v>
      </c>
      <c r="D24" s="154"/>
      <c r="E24" s="154"/>
      <c r="F24" s="154"/>
      <c r="G24" s="154">
        <f>($D$22+$E$22*(B24-12))*F19</f>
        <v>458.02611242339361</v>
      </c>
      <c r="H24" s="154">
        <f t="shared" si="4"/>
        <v>-17.026112423393613</v>
      </c>
      <c r="I24" s="154">
        <f t="shared" si="5"/>
        <v>17.026112423393613</v>
      </c>
      <c r="J24" s="154">
        <f t="shared" si="6"/>
        <v>289.88850425403831</v>
      </c>
      <c r="K24" s="155">
        <f>I24/C24</f>
        <v>3.8607964678897079E-2</v>
      </c>
      <c r="L24" s="164" t="s">
        <v>142</v>
      </c>
      <c r="M24" s="165">
        <f>AVERAGE(I24:I27)</f>
        <v>35.466277964438945</v>
      </c>
      <c r="N24" s="146"/>
    </row>
    <row r="25" spans="1:14" x14ac:dyDescent="0.25">
      <c r="A25" s="153" t="s">
        <v>186</v>
      </c>
      <c r="B25" s="142">
        <v>14</v>
      </c>
      <c r="C25" s="41">
        <v>629</v>
      </c>
      <c r="D25" s="154"/>
      <c r="E25" s="154"/>
      <c r="F25" s="154"/>
      <c r="G25" s="154">
        <f>($D$22+$E$22*(B25-12))*F20</f>
        <v>595.61437475069204</v>
      </c>
      <c r="H25" s="154">
        <f t="shared" si="4"/>
        <v>33.385625249307964</v>
      </c>
      <c r="I25" s="154">
        <f t="shared" si="5"/>
        <v>33.385625249307964</v>
      </c>
      <c r="J25" s="154">
        <f t="shared" si="6"/>
        <v>1114.5999732872294</v>
      </c>
      <c r="K25" s="155">
        <f>I25/C25</f>
        <v>5.3077305642778953E-2</v>
      </c>
      <c r="L25" s="168" t="s">
        <v>166</v>
      </c>
      <c r="M25" s="169">
        <f>AVERAGE(J24:J27)</f>
        <v>2354.9552623858262</v>
      </c>
      <c r="N25" s="146"/>
    </row>
    <row r="26" spans="1:14" ht="16.5" thickBot="1" x14ac:dyDescent="0.3">
      <c r="A26" s="153" t="s">
        <v>187</v>
      </c>
      <c r="B26" s="142">
        <v>15</v>
      </c>
      <c r="C26" s="41">
        <v>781</v>
      </c>
      <c r="D26" s="154"/>
      <c r="E26" s="154"/>
      <c r="F26" s="154"/>
      <c r="G26" s="154">
        <f>($D$22+$E$22*(B26-12))*F21</f>
        <v>691.49276501753513</v>
      </c>
      <c r="H26" s="154">
        <f t="shared" si="4"/>
        <v>89.507234982464865</v>
      </c>
      <c r="I26" s="154">
        <f t="shared" si="5"/>
        <v>89.507234982464865</v>
      </c>
      <c r="J26" s="154">
        <f t="shared" si="6"/>
        <v>8011.545114206182</v>
      </c>
      <c r="K26" s="155">
        <f>I26/C26</f>
        <v>0.11460593467665156</v>
      </c>
      <c r="L26" s="166" t="s">
        <v>138</v>
      </c>
      <c r="M26" s="167">
        <f>AVERAGE(K24:K27)*100</f>
        <v>5.3183843635831352</v>
      </c>
      <c r="N26" s="146" t="s">
        <v>195</v>
      </c>
    </row>
    <row r="27" spans="1:14" x14ac:dyDescent="0.25">
      <c r="A27" s="153" t="s">
        <v>188</v>
      </c>
      <c r="B27" s="142">
        <v>16</v>
      </c>
      <c r="C27" s="41">
        <v>302</v>
      </c>
      <c r="D27" s="154"/>
      <c r="E27" s="154"/>
      <c r="F27" s="154"/>
      <c r="G27" s="154">
        <f>($D$22+$E$22*(B27-12))*F22</f>
        <v>300.05386079741066</v>
      </c>
      <c r="H27" s="154">
        <f t="shared" si="4"/>
        <v>1.946139202589336</v>
      </c>
      <c r="I27" s="154">
        <f t="shared" si="5"/>
        <v>1.946139202589336</v>
      </c>
      <c r="J27" s="154">
        <f t="shared" si="6"/>
        <v>3.7874577958550568</v>
      </c>
      <c r="K27" s="155">
        <f>I27/C27</f>
        <v>6.4441695449978017E-3</v>
      </c>
      <c r="L27" s="146"/>
      <c r="M27" s="146"/>
      <c r="N27" s="146"/>
    </row>
    <row r="28" spans="1:14" x14ac:dyDescent="0.25">
      <c r="A28" s="146"/>
      <c r="B28" s="146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</row>
    <row r="29" spans="1:14" x14ac:dyDescent="0.25">
      <c r="A29" s="146"/>
      <c r="B29" s="146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Esquema d'integració</vt:lpstr>
      <vt:lpstr>Additiu - Descomposició</vt:lpstr>
      <vt:lpstr>Aditiu - AEHW</vt:lpstr>
      <vt:lpstr>Multiplicatiu - Descomposició</vt:lpstr>
      <vt:lpstr>Multiplicatiu - AEHW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2019-01-17T19:01:02Z</dcterms:modified>
</cp:coreProperties>
</file>